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490" windowHeight="7620" activeTab="4"/>
  </bookViews>
  <sheets>
    <sheet name="Sheet1" sheetId="1" r:id="rId1"/>
    <sheet name="Sheet2" sheetId="2" r:id="rId2"/>
    <sheet name="Sheet3" sheetId="3" r:id="rId3"/>
    <sheet name="Sheet4" sheetId="4" r:id="rId4"/>
    <sheet name="Sheet5" sheetId="5" r:id="rId5"/>
  </sheets>
  <calcPr calcId="162913" concurrentCalc="0"/>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calcChain.xml><?xml version="1.0" encoding="utf-8"?>
<calcChain xmlns="http://schemas.openxmlformats.org/spreadsheetml/2006/main">
  <c r="P15" i="5"/>
  <c r="P16"/>
  <c r="P17"/>
  <c r="P18"/>
  <c r="P21"/>
  <c r="P22"/>
  <c r="P24"/>
  <c r="P25"/>
  <c r="P26"/>
  <c r="P27"/>
  <c r="P29"/>
  <c r="K15"/>
  <c r="Q15"/>
  <c r="K16"/>
  <c r="Q16"/>
  <c r="K17"/>
  <c r="Q17"/>
  <c r="K18"/>
  <c r="Q18"/>
  <c r="K21"/>
  <c r="Q21"/>
  <c r="K22"/>
  <c r="Q22"/>
  <c r="K24"/>
  <c r="Q24"/>
  <c r="K25"/>
  <c r="Q25"/>
  <c r="K27"/>
  <c r="Q27"/>
  <c r="Q29"/>
  <c r="R18"/>
  <c r="R24"/>
  <c r="R25"/>
  <c r="R27"/>
  <c r="R29"/>
  <c r="P32"/>
  <c r="D36"/>
  <c r="P33"/>
  <c r="K26"/>
  <c r="K29"/>
  <c r="K33"/>
  <c r="S31"/>
  <c r="N31"/>
  <c r="F14"/>
  <c r="F15"/>
  <c r="F16"/>
  <c r="F17"/>
  <c r="F20"/>
  <c r="F21"/>
  <c r="F22"/>
  <c r="F24"/>
  <c r="F25"/>
  <c r="F26"/>
  <c r="F27"/>
  <c r="F31"/>
  <c r="S29"/>
  <c r="L15"/>
  <c r="L16"/>
  <c r="L17"/>
  <c r="L21"/>
  <c r="L22"/>
  <c r="L24"/>
  <c r="L25"/>
  <c r="L26"/>
  <c r="L27"/>
  <c r="L29"/>
  <c r="F29"/>
  <c r="N29"/>
  <c r="H14"/>
  <c r="H15"/>
  <c r="H16"/>
  <c r="H24"/>
  <c r="H25"/>
  <c r="H26"/>
  <c r="H27"/>
  <c r="H29"/>
  <c r="D14"/>
  <c r="D15"/>
  <c r="D16"/>
  <c r="D20"/>
  <c r="D21"/>
  <c r="D22"/>
  <c r="D24"/>
  <c r="D25"/>
  <c r="D26"/>
  <c r="D27"/>
  <c r="D29"/>
  <c r="I29"/>
  <c r="G14"/>
  <c r="G15"/>
  <c r="G16"/>
  <c r="G20"/>
  <c r="G21"/>
  <c r="G22"/>
  <c r="G24"/>
  <c r="G25"/>
  <c r="G26"/>
  <c r="G27"/>
  <c r="G29"/>
  <c r="S27"/>
  <c r="I27"/>
  <c r="N26"/>
  <c r="I26"/>
  <c r="S25"/>
  <c r="N25"/>
  <c r="I25"/>
  <c r="S24"/>
  <c r="N24"/>
  <c r="I24"/>
  <c r="S22"/>
  <c r="N22"/>
  <c r="I22"/>
  <c r="S21"/>
  <c r="N21"/>
  <c r="I21"/>
  <c r="I20"/>
  <c r="S18"/>
  <c r="S17"/>
  <c r="N17"/>
  <c r="S16"/>
  <c r="N16"/>
  <c r="I16"/>
  <c r="S15"/>
  <c r="M15"/>
  <c r="N15"/>
  <c r="I15"/>
  <c r="I14"/>
  <c r="R12" i="1"/>
  <c r="R18"/>
  <c r="R19"/>
  <c r="R21"/>
  <c r="R23"/>
  <c r="P9"/>
  <c r="K9"/>
  <c r="Q9"/>
  <c r="P10"/>
  <c r="K10"/>
  <c r="Q10"/>
  <c r="P11"/>
  <c r="K11"/>
  <c r="Q11"/>
  <c r="P12"/>
  <c r="K12"/>
  <c r="Q12"/>
  <c r="P15"/>
  <c r="K15"/>
  <c r="Q15"/>
  <c r="P16"/>
  <c r="K16"/>
  <c r="Q16"/>
  <c r="P18"/>
  <c r="K18"/>
  <c r="Q18"/>
  <c r="P19"/>
  <c r="K19"/>
  <c r="Q19"/>
  <c r="P21"/>
  <c r="K21"/>
  <c r="Q21"/>
  <c r="Q23"/>
  <c r="P20"/>
  <c r="P23"/>
  <c r="P26"/>
  <c r="K20"/>
  <c r="K23"/>
  <c r="S25"/>
  <c r="S23"/>
  <c r="P27"/>
  <c r="D29"/>
  <c r="S10"/>
  <c r="S11"/>
  <c r="S12"/>
  <c r="S15"/>
  <c r="S16"/>
  <c r="S18"/>
  <c r="S19"/>
  <c r="S21"/>
  <c r="S9"/>
  <c r="F9"/>
  <c r="L9"/>
  <c r="F10"/>
  <c r="L10"/>
  <c r="F11"/>
  <c r="L11"/>
  <c r="F15"/>
  <c r="L15"/>
  <c r="F16"/>
  <c r="L16"/>
  <c r="F18"/>
  <c r="L18"/>
  <c r="F19"/>
  <c r="L19"/>
  <c r="F20"/>
  <c r="L20"/>
  <c r="F21"/>
  <c r="L21"/>
  <c r="L23"/>
  <c r="F8"/>
  <c r="F14"/>
  <c r="F23"/>
  <c r="N23"/>
  <c r="K27"/>
  <c r="N25"/>
  <c r="H8"/>
  <c r="H9"/>
  <c r="H10"/>
  <c r="H18"/>
  <c r="H19"/>
  <c r="H20"/>
  <c r="H21"/>
  <c r="H23"/>
  <c r="D8"/>
  <c r="D9"/>
  <c r="D10"/>
  <c r="D14"/>
  <c r="D15"/>
  <c r="D16"/>
  <c r="D18"/>
  <c r="D19"/>
  <c r="D20"/>
  <c r="D21"/>
  <c r="D23"/>
  <c r="I23"/>
  <c r="N15"/>
  <c r="N16"/>
  <c r="N18"/>
  <c r="N19"/>
  <c r="N20"/>
  <c r="N10"/>
  <c r="N11"/>
  <c r="M9"/>
  <c r="N9"/>
  <c r="G8"/>
  <c r="I8"/>
  <c r="G9"/>
  <c r="G10"/>
  <c r="G14"/>
  <c r="G15"/>
  <c r="G16"/>
  <c r="G18"/>
  <c r="G19"/>
  <c r="G20"/>
  <c r="G21"/>
  <c r="G23"/>
  <c r="F25"/>
  <c r="I9"/>
  <c r="I10"/>
  <c r="I14"/>
  <c r="I15"/>
  <c r="I16"/>
  <c r="I18"/>
  <c r="I19"/>
  <c r="I20"/>
  <c r="I21"/>
</calcChain>
</file>

<file path=xl/sharedStrings.xml><?xml version="1.0" encoding="utf-8"?>
<sst xmlns="http://schemas.openxmlformats.org/spreadsheetml/2006/main" count="144" uniqueCount="55">
  <si>
    <t>Asset</t>
  </si>
  <si>
    <t># of Shares/Bonds</t>
  </si>
  <si>
    <t>Price Per Share/Bond</t>
  </si>
  <si>
    <t>Initial Purchase Date</t>
  </si>
  <si>
    <t>Asset Value as of</t>
  </si>
  <si>
    <t>"Initial Date"</t>
  </si>
  <si>
    <t>Beginning</t>
  </si>
  <si>
    <t>Investment Value</t>
  </si>
  <si>
    <t>Dividend /Interest</t>
  </si>
  <si>
    <t>Income</t>
  </si>
  <si>
    <t>Holding Period</t>
  </si>
  <si>
    <t>Return</t>
  </si>
  <si>
    <t>Entry #2</t>
  </si>
  <si>
    <t>Stocks:</t>
  </si>
  <si>
    <t>Bonds:</t>
  </si>
  <si>
    <t>Cash:</t>
  </si>
  <si>
    <t>Entry #3</t>
  </si>
  <si>
    <t>Entry #4</t>
  </si>
  <si>
    <t>Financial Goal:</t>
  </si>
  <si>
    <t>Portfolio Value as of January 18th:</t>
  </si>
  <si>
    <t>Portfolio Value as of February 13th:</t>
  </si>
  <si>
    <t>Portfolio Value as of March 22nd:</t>
  </si>
  <si>
    <t>Portfolio Value as of April 26th:</t>
  </si>
  <si>
    <t>The PNC Financial Services Group, Inc.</t>
  </si>
  <si>
    <t xml:space="preserve"> Crude Oil</t>
  </si>
  <si>
    <t>Brent Crude Oil Last Day Financ</t>
  </si>
  <si>
    <t>American Financial Group, Inc.</t>
  </si>
  <si>
    <t>Intel Corporation</t>
  </si>
  <si>
    <t>Pfizer Inc.</t>
  </si>
  <si>
    <r>
      <t xml:space="preserve">INVESTMENT JOURNAL:  </t>
    </r>
    <r>
      <rPr>
        <i/>
        <sz val="16"/>
        <color theme="1"/>
        <rFont val="Calibri"/>
        <family val="2"/>
        <scheme val="minor"/>
      </rPr>
      <t>Ibrahim Almuhanna</t>
    </r>
  </si>
  <si>
    <r>
      <rPr>
        <sz val="11"/>
        <color theme="1"/>
        <rFont val="Times New Roman"/>
      </rPr>
      <t>Capital gai</t>
    </r>
    <r>
      <rPr>
        <sz val="11"/>
        <color theme="1"/>
        <rFont val="Calibri"/>
        <family val="2"/>
        <scheme val="minor"/>
      </rPr>
      <t>n</t>
    </r>
  </si>
  <si>
    <t>step#4</t>
  </si>
  <si>
    <r>
      <t xml:space="preserve">Apple Inc. </t>
    </r>
    <r>
      <rPr>
        <b/>
        <i/>
        <u/>
        <sz val="11"/>
        <color theme="1"/>
        <rFont val="Calibri (Body)"/>
      </rPr>
      <t>(Sold)</t>
    </r>
  </si>
  <si>
    <r>
      <t xml:space="preserve">NVIDIA Corporation (NVDA) </t>
    </r>
    <r>
      <rPr>
        <b/>
        <i/>
        <u/>
        <sz val="11"/>
        <color theme="1"/>
        <rFont val="Calibri (Body)"/>
      </rPr>
      <t>Bought</t>
    </r>
  </si>
  <si>
    <r>
      <t xml:space="preserve">ATAC Inflation Rotation Investor </t>
    </r>
    <r>
      <rPr>
        <b/>
        <i/>
        <u/>
        <sz val="11"/>
        <color theme="1"/>
        <rFont val="Calibri (Body)"/>
      </rPr>
      <t>SOLD</t>
    </r>
  </si>
  <si>
    <t>-</t>
  </si>
  <si>
    <t>S &amp; P 500</t>
  </si>
  <si>
    <r>
      <t xml:space="preserve">Amgen Inc.  </t>
    </r>
    <r>
      <rPr>
        <b/>
        <i/>
        <u/>
        <sz val="11"/>
        <color theme="1"/>
        <rFont val="Calibri (Body)"/>
      </rPr>
      <t>Bought</t>
    </r>
  </si>
  <si>
    <t xml:space="preserve">Discover Financial Services </t>
  </si>
  <si>
    <r>
      <t xml:space="preserve">Ally Financial Inc. </t>
    </r>
    <r>
      <rPr>
        <b/>
        <i/>
        <u/>
        <sz val="11"/>
        <color theme="1"/>
        <rFont val="Calibri (Body)"/>
      </rPr>
      <t>SOLD</t>
    </r>
  </si>
  <si>
    <t>the goal is to incease assets value by 10% and to earn a total gain of $10,000 for a car next year.</t>
  </si>
  <si>
    <t>beta</t>
  </si>
  <si>
    <t>with transactions fees</t>
  </si>
  <si>
    <t>Step 4</t>
  </si>
  <si>
    <t>As shown in the table below.</t>
  </si>
  <si>
    <t>Holding Period Return = { ( End of period value- Initial investments)  + Total Income} / Initial investments.</t>
  </si>
  <si>
    <t>…and hence the portfolio is a low-risk,high-reward investment.</t>
  </si>
  <si>
    <t>I would not change the beta value(0.87).This is because a high beta value leads to high risk</t>
  </si>
  <si>
    <t>Since the beta coeffiecint is less than 1.00 ,I would not change it because it already shows a reduced risk in the entire market portfolio.However,</t>
  </si>
  <si>
    <t>And hence my new portfolio  will be a low-risk ,high-reward investment.</t>
  </si>
  <si>
    <t xml:space="preserve"> I would increase the number of shares bought for Intel Corp, Pfizer Inc and Ally Financial whilst reducing the number of shares bought for Apple Inc. and PNC financial services group,Inc.</t>
  </si>
  <si>
    <t xml:space="preserve">This is because the price of shares at the entry levels for Intel Corp,Ally Financial  and Pfizer Inc. are cheaper as compared to the shares of Apple Inc. and PNC financial services group,Inc. </t>
  </si>
  <si>
    <t>HPR of the portfolio = {(93259.54- 87,823.49)+ 291.35}/87823.49 = 0.06522= 0.07</t>
  </si>
  <si>
    <r>
      <t xml:space="preserve">In changing the number of shares bought either by reducing or increasing them,the total capital investment is reduced to $87,823.49 and achieves the same result as the first capital investment  of </t>
    </r>
    <r>
      <rPr>
        <u/>
        <sz val="12"/>
        <color theme="1"/>
        <rFont val="Times New Roman"/>
        <family val="1"/>
      </rPr>
      <t>$99,995.39.</t>
    </r>
  </si>
  <si>
    <t>Hence it’s a better investment portfolio.</t>
  </si>
</sst>
</file>

<file path=xl/styles.xml><?xml version="1.0" encoding="utf-8"?>
<styleSheet xmlns="http://schemas.openxmlformats.org/spreadsheetml/2006/main">
  <numFmts count="2">
    <numFmt numFmtId="44" formatCode="_(&quot;$&quot;* #,##0.00_);_(&quot;$&quot;* \(#,##0.00\);_(&quot;$&quot;* &quot;-&quot;??_);_(@_)"/>
    <numFmt numFmtId="164" formatCode="_-&quot;$&quot;* #,##0.00_-;\-&quot;$&quot;* #,##0.00_-;_-&quot;$&quot;* &quot;-&quot;??_-;_-@_-"/>
  </numFmts>
  <fonts count="20">
    <font>
      <sz val="11"/>
      <color theme="1"/>
      <name val="Calibri"/>
      <family val="2"/>
      <scheme val="minor"/>
    </font>
    <font>
      <b/>
      <sz val="14"/>
      <color theme="1"/>
      <name val="Calibri"/>
      <family val="2"/>
      <scheme val="minor"/>
    </font>
    <font>
      <sz val="8"/>
      <color theme="1"/>
      <name val="Calibri"/>
      <family val="2"/>
      <scheme val="minor"/>
    </font>
    <font>
      <sz val="16"/>
      <color theme="1"/>
      <name val="Calibri"/>
      <family val="2"/>
      <scheme val="minor"/>
    </font>
    <font>
      <sz val="16"/>
      <color rgb="FFFF0000"/>
      <name val="Calibri"/>
      <family val="2"/>
      <scheme val="minor"/>
    </font>
    <font>
      <i/>
      <sz val="16"/>
      <color theme="1"/>
      <name val="Calibri"/>
      <family val="2"/>
      <scheme val="minor"/>
    </font>
    <font>
      <sz val="11"/>
      <color theme="1"/>
      <name val="Calibri"/>
      <family val="2"/>
      <scheme val="minor"/>
    </font>
    <font>
      <b/>
      <i/>
      <u/>
      <sz val="11"/>
      <color theme="1"/>
      <name val="Calibri"/>
      <scheme val="minor"/>
    </font>
    <font>
      <sz val="11"/>
      <color theme="0"/>
      <name val="Calibri"/>
      <family val="2"/>
      <scheme val="minor"/>
    </font>
    <font>
      <sz val="11"/>
      <color theme="1"/>
      <name val="Times New Roman"/>
    </font>
    <font>
      <b/>
      <i/>
      <sz val="11"/>
      <color theme="1"/>
      <name val="Calibri"/>
      <scheme val="minor"/>
    </font>
    <font>
      <b/>
      <i/>
      <u/>
      <sz val="11"/>
      <color theme="1"/>
      <name val="Calibri (Body)"/>
    </font>
    <font>
      <sz val="11"/>
      <color rgb="FFFF0000"/>
      <name val="Calibri"/>
      <family val="2"/>
      <scheme val="minor"/>
    </font>
    <font>
      <sz val="11"/>
      <color rgb="FF00B050"/>
      <name val="Calibri"/>
      <family val="2"/>
      <scheme val="minor"/>
    </font>
    <font>
      <b/>
      <sz val="12"/>
      <color theme="1"/>
      <name val="Times New Roman"/>
      <family val="1"/>
    </font>
    <font>
      <sz val="12"/>
      <color theme="1"/>
      <name val="Times New Roman"/>
      <family val="1"/>
    </font>
    <font>
      <sz val="12"/>
      <color theme="5"/>
      <name val="Times New Roman"/>
      <family val="1"/>
    </font>
    <font>
      <sz val="12"/>
      <color rgb="FF00B050"/>
      <name val="Times New Roman"/>
      <family val="1"/>
    </font>
    <font>
      <sz val="12"/>
      <color rgb="FFFF0000"/>
      <name val="Times New Roman"/>
      <family val="1"/>
    </font>
    <font>
      <u/>
      <sz val="12"/>
      <color theme="1"/>
      <name val="Times New Roman"/>
      <family val="1"/>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theme="3" tint="0.59999389629810485"/>
        <bgColor indexed="64"/>
      </patternFill>
    </fill>
    <fill>
      <patternFill patternType="solid">
        <fgColor rgb="FF00B050"/>
        <bgColor indexed="64"/>
      </patternFill>
    </fill>
    <fill>
      <patternFill patternType="solid">
        <fgColor rgb="FFFF0000"/>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164" fontId="6" fillId="0" borderId="0" applyFont="0" applyFill="0" applyBorder="0" applyAlignment="0" applyProtection="0"/>
    <xf numFmtId="9" fontId="6" fillId="0" borderId="0" applyFont="0" applyFill="0" applyBorder="0" applyAlignment="0" applyProtection="0"/>
  </cellStyleXfs>
  <cellXfs count="125">
    <xf numFmtId="0" fontId="0" fillId="0" borderId="0" xfId="0"/>
    <xf numFmtId="0" fontId="0" fillId="0" borderId="2" xfId="0" applyBorder="1"/>
    <xf numFmtId="0" fontId="0" fillId="0" borderId="3" xfId="0" applyBorder="1"/>
    <xf numFmtId="0" fontId="0" fillId="0" borderId="4" xfId="0" applyBorder="1"/>
    <xf numFmtId="0" fontId="1" fillId="0" borderId="5" xfId="0" applyFont="1" applyBorder="1"/>
    <xf numFmtId="0" fontId="0" fillId="0" borderId="0" xfId="0" applyBorder="1"/>
    <xf numFmtId="0" fontId="0" fillId="0" borderId="6" xfId="0" applyBorder="1"/>
    <xf numFmtId="0" fontId="0" fillId="0" borderId="10" xfId="0" applyBorder="1"/>
    <xf numFmtId="0" fontId="0" fillId="0" borderId="11" xfId="0" applyBorder="1"/>
    <xf numFmtId="0" fontId="0" fillId="0" borderId="12" xfId="0" applyBorder="1"/>
    <xf numFmtId="0" fontId="2" fillId="0" borderId="11" xfId="0" applyFont="1" applyBorder="1" applyAlignment="1">
      <alignment horizontal="center"/>
    </xf>
    <xf numFmtId="0" fontId="2" fillId="0" borderId="12" xfId="0" applyFont="1" applyBorder="1" applyAlignment="1">
      <alignment horizontal="center"/>
    </xf>
    <xf numFmtId="0" fontId="2" fillId="0" borderId="6" xfId="0" applyFont="1" applyBorder="1" applyAlignment="1">
      <alignment horizontal="center"/>
    </xf>
    <xf numFmtId="0" fontId="2" fillId="0" borderId="9" xfId="0" applyFont="1" applyBorder="1" applyAlignment="1">
      <alignment horizontal="center"/>
    </xf>
    <xf numFmtId="0" fontId="2" fillId="0" borderId="0"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center"/>
    </xf>
    <xf numFmtId="0" fontId="0" fillId="0" borderId="1" xfId="0" applyBorder="1"/>
    <xf numFmtId="0" fontId="0" fillId="2" borderId="2" xfId="0" applyFill="1" applyBorder="1"/>
    <xf numFmtId="0" fontId="0" fillId="2" borderId="3" xfId="0" applyFill="1" applyBorder="1"/>
    <xf numFmtId="0" fontId="0" fillId="2" borderId="4" xfId="0" applyFill="1" applyBorder="1"/>
    <xf numFmtId="0" fontId="1" fillId="2" borderId="5" xfId="0" applyFont="1" applyFill="1" applyBorder="1"/>
    <xf numFmtId="0" fontId="0" fillId="2" borderId="0" xfId="0" applyFill="1" applyBorder="1"/>
    <xf numFmtId="0" fontId="0" fillId="2" borderId="6" xfId="0" applyFill="1" applyBorder="1"/>
    <xf numFmtId="0" fontId="2" fillId="2" borderId="5" xfId="0" applyFont="1" applyFill="1" applyBorder="1" applyAlignment="1">
      <alignment horizontal="center"/>
    </xf>
    <xf numFmtId="0" fontId="2" fillId="2" borderId="0" xfId="0" applyFont="1" applyFill="1" applyBorder="1" applyAlignment="1">
      <alignment horizontal="center"/>
    </xf>
    <xf numFmtId="0" fontId="2" fillId="2" borderId="6" xfId="0" applyFont="1" applyFill="1" applyBorder="1" applyAlignment="1">
      <alignment horizontal="center"/>
    </xf>
    <xf numFmtId="0" fontId="2" fillId="2" borderId="8" xfId="0" applyFont="1" applyFill="1" applyBorder="1" applyAlignment="1">
      <alignment horizontal="center"/>
    </xf>
    <xf numFmtId="0" fontId="2" fillId="2" borderId="9" xfId="0" applyFont="1" applyFill="1" applyBorder="1" applyAlignment="1">
      <alignment horizontal="center"/>
    </xf>
    <xf numFmtId="16" fontId="2" fillId="0" borderId="7" xfId="0" applyNumberFormat="1" applyFont="1" applyBorder="1" applyAlignment="1">
      <alignment horizontal="center"/>
    </xf>
    <xf numFmtId="16" fontId="2" fillId="2" borderId="7" xfId="0" applyNumberFormat="1" applyFont="1" applyFill="1" applyBorder="1" applyAlignment="1">
      <alignment horizontal="center"/>
    </xf>
    <xf numFmtId="0" fontId="0" fillId="3" borderId="10" xfId="0" applyFill="1" applyBorder="1" applyAlignment="1">
      <alignment horizontal="center"/>
    </xf>
    <xf numFmtId="0" fontId="0" fillId="3" borderId="11" xfId="0" applyFill="1" applyBorder="1" applyAlignment="1">
      <alignment horizontal="center"/>
    </xf>
    <xf numFmtId="0" fontId="0" fillId="3" borderId="12" xfId="0" applyFill="1" applyBorder="1" applyAlignment="1">
      <alignment horizontal="center"/>
    </xf>
    <xf numFmtId="0" fontId="4" fillId="0" borderId="0" xfId="0" applyFont="1" applyAlignment="1">
      <alignment horizontal="left"/>
    </xf>
    <xf numFmtId="0" fontId="3" fillId="0" borderId="0" xfId="0" applyFont="1" applyAlignment="1"/>
    <xf numFmtId="0" fontId="0" fillId="0" borderId="0" xfId="0" applyAlignment="1"/>
    <xf numFmtId="0" fontId="7" fillId="4" borderId="0" xfId="0" applyFont="1" applyFill="1"/>
    <xf numFmtId="0" fontId="7" fillId="4" borderId="0" xfId="0" applyFont="1" applyFill="1" applyBorder="1"/>
    <xf numFmtId="0" fontId="1" fillId="0" borderId="5" xfId="0" applyFont="1" applyBorder="1" applyAlignment="1"/>
    <xf numFmtId="0" fontId="1" fillId="0" borderId="0" xfId="0" applyFont="1" applyBorder="1" applyAlignment="1"/>
    <xf numFmtId="9" fontId="0" fillId="0" borderId="1" xfId="2" applyNumberFormat="1" applyFont="1" applyBorder="1" applyAlignment="1">
      <alignment horizontal="center"/>
    </xf>
    <xf numFmtId="164" fontId="0" fillId="0" borderId="1" xfId="1" applyFont="1" applyBorder="1" applyAlignment="1">
      <alignment horizontal="center"/>
    </xf>
    <xf numFmtId="0" fontId="0" fillId="0" borderId="0" xfId="0" applyAlignment="1">
      <alignment horizontal="center"/>
    </xf>
    <xf numFmtId="0" fontId="0" fillId="0" borderId="1" xfId="0" applyBorder="1" applyAlignment="1">
      <alignment horizontal="center"/>
    </xf>
    <xf numFmtId="164" fontId="0" fillId="0" borderId="1" xfId="0" applyNumberFormat="1" applyBorder="1" applyAlignment="1">
      <alignment horizontal="center"/>
    </xf>
    <xf numFmtId="164" fontId="0" fillId="0" borderId="0" xfId="1" applyFont="1" applyAlignment="1">
      <alignment horizontal="center"/>
    </xf>
    <xf numFmtId="164" fontId="0" fillId="0" borderId="0" xfId="0" applyNumberFormat="1" applyAlignment="1">
      <alignment horizontal="center"/>
    </xf>
    <xf numFmtId="164" fontId="0" fillId="7" borderId="1" xfId="0" applyNumberFormat="1" applyFont="1" applyFill="1" applyBorder="1" applyAlignment="1">
      <alignment horizontal="center"/>
    </xf>
    <xf numFmtId="16" fontId="2" fillId="0" borderId="8" xfId="0" applyNumberFormat="1" applyFont="1" applyBorder="1" applyAlignment="1">
      <alignment horizontal="center"/>
    </xf>
    <xf numFmtId="0" fontId="0" fillId="0" borderId="0" xfId="0" applyFont="1" applyBorder="1" applyAlignment="1">
      <alignment horizontal="center"/>
    </xf>
    <xf numFmtId="164" fontId="0" fillId="0" borderId="0" xfId="1" applyFont="1" applyBorder="1" applyAlignment="1">
      <alignment horizontal="center"/>
    </xf>
    <xf numFmtId="0" fontId="0" fillId="0" borderId="0" xfId="0" applyFill="1" applyBorder="1"/>
    <xf numFmtId="0" fontId="10" fillId="0" borderId="1" xfId="0" applyFont="1" applyBorder="1" applyAlignment="1">
      <alignment horizontal="center"/>
    </xf>
    <xf numFmtId="164" fontId="8" fillId="6" borderId="13" xfId="0" applyNumberFormat="1" applyFont="1" applyFill="1" applyBorder="1" applyAlignment="1">
      <alignment horizontal="center"/>
    </xf>
    <xf numFmtId="9" fontId="0" fillId="0" borderId="0" xfId="2" applyFont="1"/>
    <xf numFmtId="0" fontId="0" fillId="0" borderId="0" xfId="0" applyAlignment="1">
      <alignment horizontal="center"/>
    </xf>
    <xf numFmtId="10" fontId="0" fillId="0" borderId="1" xfId="2" applyNumberFormat="1" applyFont="1" applyBorder="1" applyAlignment="1">
      <alignment horizontal="center" vertical="center"/>
    </xf>
    <xf numFmtId="0" fontId="0" fillId="0" borderId="0" xfId="0" applyAlignment="1">
      <alignment horizontal="center"/>
    </xf>
    <xf numFmtId="0" fontId="0" fillId="0" borderId="0" xfId="0" applyBorder="1" applyAlignment="1">
      <alignment horizontal="center"/>
    </xf>
    <xf numFmtId="9" fontId="0" fillId="0" borderId="0" xfId="2" applyNumberFormat="1" applyFont="1" applyBorder="1" applyAlignment="1">
      <alignment horizontal="center"/>
    </xf>
    <xf numFmtId="10" fontId="0" fillId="0" borderId="0" xfId="2" applyNumberFormat="1" applyFont="1" applyBorder="1" applyAlignment="1">
      <alignment horizontal="center" vertical="center"/>
    </xf>
    <xf numFmtId="0" fontId="1" fillId="0" borderId="11" xfId="0" applyFont="1" applyBorder="1" applyAlignment="1"/>
    <xf numFmtId="0" fontId="0" fillId="0" borderId="11" xfId="0" applyFont="1" applyBorder="1" applyAlignment="1">
      <alignment horizontal="center"/>
    </xf>
    <xf numFmtId="16" fontId="2" fillId="0" borderId="12" xfId="0" applyNumberFormat="1" applyFont="1" applyBorder="1" applyAlignment="1">
      <alignment horizontal="center"/>
    </xf>
    <xf numFmtId="164" fontId="0" fillId="0" borderId="1" xfId="1" applyFont="1" applyBorder="1"/>
    <xf numFmtId="164" fontId="0" fillId="0" borderId="1" xfId="0" applyNumberFormat="1" applyBorder="1"/>
    <xf numFmtId="164" fontId="0" fillId="0" borderId="12" xfId="1" applyFont="1" applyBorder="1" applyAlignment="1">
      <alignment horizontal="center"/>
    </xf>
    <xf numFmtId="9" fontId="0" fillId="0" borderId="12" xfId="2" applyNumberFormat="1" applyFont="1" applyBorder="1" applyAlignment="1">
      <alignment horizontal="center"/>
    </xf>
    <xf numFmtId="164" fontId="0" fillId="0" borderId="12" xfId="1" applyFont="1" applyBorder="1"/>
    <xf numFmtId="164" fontId="0" fillId="0" borderId="0" xfId="1" applyFont="1" applyBorder="1"/>
    <xf numFmtId="164" fontId="0" fillId="0" borderId="0" xfId="0" applyNumberFormat="1" applyBorder="1"/>
    <xf numFmtId="0" fontId="0" fillId="0" borderId="0" xfId="0" applyFont="1" applyFill="1" applyBorder="1"/>
    <xf numFmtId="9" fontId="0" fillId="0" borderId="1" xfId="2" applyFont="1" applyBorder="1" applyAlignment="1">
      <alignment horizontal="center"/>
    </xf>
    <xf numFmtId="9" fontId="0" fillId="0" borderId="0" xfId="2" applyFont="1" applyBorder="1" applyAlignment="1">
      <alignment horizontal="center"/>
    </xf>
    <xf numFmtId="9" fontId="0" fillId="0" borderId="12" xfId="2" applyFont="1" applyBorder="1" applyAlignment="1">
      <alignment horizontal="center"/>
    </xf>
    <xf numFmtId="164" fontId="0" fillId="5" borderId="1" xfId="0" applyNumberFormat="1" applyFill="1" applyBorder="1"/>
    <xf numFmtId="164" fontId="12" fillId="0" borderId="0" xfId="1" applyFont="1" applyAlignment="1">
      <alignment horizontal="center"/>
    </xf>
    <xf numFmtId="164" fontId="13" fillId="0" borderId="0" xfId="1" applyFont="1"/>
    <xf numFmtId="164" fontId="13" fillId="7" borderId="1" xfId="0" applyNumberFormat="1" applyFont="1" applyFill="1" applyBorder="1" applyAlignment="1">
      <alignment horizontal="center"/>
    </xf>
    <xf numFmtId="164" fontId="0" fillId="5" borderId="0" xfId="0" applyNumberFormat="1" applyFill="1"/>
    <xf numFmtId="9" fontId="0" fillId="0" borderId="0" xfId="2" applyFont="1" applyAlignment="1">
      <alignment horizontal="center"/>
    </xf>
    <xf numFmtId="0" fontId="0" fillId="0" borderId="0" xfId="0" applyAlignment="1">
      <alignment horizontal="center"/>
    </xf>
    <xf numFmtId="164" fontId="0" fillId="8" borderId="1" xfId="1" applyFont="1" applyFill="1" applyBorder="1" applyAlignment="1">
      <alignment horizontal="center"/>
    </xf>
    <xf numFmtId="9" fontId="0" fillId="8" borderId="1" xfId="2" applyFont="1" applyFill="1" applyBorder="1" applyAlignment="1">
      <alignment horizontal="center"/>
    </xf>
    <xf numFmtId="164" fontId="0" fillId="0" borderId="10" xfId="1" applyFont="1" applyBorder="1"/>
    <xf numFmtId="0" fontId="0" fillId="0" borderId="12" xfId="0" applyBorder="1" applyAlignment="1">
      <alignment horizontal="center"/>
    </xf>
    <xf numFmtId="164" fontId="0" fillId="0" borderId="12" xfId="0" applyNumberFormat="1" applyBorder="1" applyAlignment="1">
      <alignment horizontal="center"/>
    </xf>
    <xf numFmtId="0" fontId="0" fillId="0" borderId="8" xfId="0" applyBorder="1" applyAlignment="1">
      <alignment horizontal="center"/>
    </xf>
    <xf numFmtId="164" fontId="0" fillId="0" borderId="8" xfId="1" applyFont="1" applyBorder="1" applyAlignment="1">
      <alignment horizontal="center"/>
    </xf>
    <xf numFmtId="9" fontId="0" fillId="0" borderId="8" xfId="2" applyNumberFormat="1" applyFont="1" applyBorder="1" applyAlignment="1">
      <alignment horizontal="center"/>
    </xf>
    <xf numFmtId="164" fontId="0" fillId="0" borderId="8" xfId="1" applyFont="1" applyBorder="1"/>
    <xf numFmtId="164" fontId="0" fillId="0" borderId="8" xfId="0" applyNumberFormat="1" applyBorder="1"/>
    <xf numFmtId="9" fontId="0" fillId="0" borderId="8" xfId="2" applyFont="1" applyBorder="1" applyAlignment="1">
      <alignment horizontal="center"/>
    </xf>
    <xf numFmtId="0" fontId="0" fillId="0" borderId="8" xfId="0" applyBorder="1"/>
    <xf numFmtId="9" fontId="0" fillId="0" borderId="10" xfId="2" applyFont="1" applyBorder="1" applyAlignment="1">
      <alignment horizontal="center"/>
    </xf>
    <xf numFmtId="164" fontId="0" fillId="0" borderId="10" xfId="1" applyFont="1" applyBorder="1" applyAlignment="1">
      <alignment horizontal="center"/>
    </xf>
    <xf numFmtId="164" fontId="0" fillId="8" borderId="12" xfId="1" applyFont="1" applyFill="1" applyBorder="1" applyAlignment="1">
      <alignment horizontal="center"/>
    </xf>
    <xf numFmtId="164" fontId="0" fillId="8" borderId="12" xfId="0" applyNumberFormat="1" applyFill="1" applyBorder="1"/>
    <xf numFmtId="164" fontId="0" fillId="8" borderId="12" xfId="1" applyFont="1" applyFill="1" applyBorder="1"/>
    <xf numFmtId="9" fontId="0" fillId="8" borderId="12" xfId="2" applyFont="1" applyFill="1" applyBorder="1" applyAlignment="1">
      <alignment horizontal="center"/>
    </xf>
    <xf numFmtId="0" fontId="0" fillId="8" borderId="12" xfId="0" applyFill="1" applyBorder="1"/>
    <xf numFmtId="164" fontId="0" fillId="8" borderId="1" xfId="1" applyFont="1" applyFill="1" applyBorder="1"/>
    <xf numFmtId="164" fontId="0" fillId="7" borderId="1" xfId="1" applyFont="1" applyFill="1" applyBorder="1"/>
    <xf numFmtId="9" fontId="0" fillId="7" borderId="1" xfId="2" applyFont="1" applyFill="1" applyBorder="1" applyAlignment="1">
      <alignment horizontal="center"/>
    </xf>
    <xf numFmtId="164" fontId="0" fillId="7" borderId="1" xfId="1" applyFont="1" applyFill="1" applyBorder="1" applyAlignment="1">
      <alignment horizontal="center"/>
    </xf>
    <xf numFmtId="164" fontId="0" fillId="0" borderId="0" xfId="0" applyNumberFormat="1"/>
    <xf numFmtId="164" fontId="0" fillId="0" borderId="13" xfId="1" applyFont="1" applyBorder="1" applyAlignment="1"/>
    <xf numFmtId="9" fontId="0" fillId="0" borderId="1" xfId="2" applyFont="1" applyBorder="1"/>
    <xf numFmtId="9" fontId="0" fillId="8" borderId="1" xfId="2" applyFont="1" applyFill="1" applyBorder="1"/>
    <xf numFmtId="0" fontId="0" fillId="9" borderId="1" xfId="0" applyFill="1" applyBorder="1" applyAlignment="1">
      <alignment horizontal="center"/>
    </xf>
    <xf numFmtId="0" fontId="0" fillId="9" borderId="1" xfId="0" applyFont="1" applyFill="1" applyBorder="1" applyAlignment="1">
      <alignment horizontal="center"/>
    </xf>
    <xf numFmtId="164" fontId="12" fillId="0" borderId="0" xfId="0" applyNumberFormat="1" applyFont="1"/>
    <xf numFmtId="0" fontId="14" fillId="0" borderId="0" xfId="0" applyFont="1"/>
    <xf numFmtId="0" fontId="15" fillId="0" borderId="0" xfId="0" applyFont="1"/>
    <xf numFmtId="0" fontId="16" fillId="0" borderId="0" xfId="0" applyFont="1"/>
    <xf numFmtId="0" fontId="15" fillId="10" borderId="0" xfId="0" applyFont="1" applyFill="1"/>
    <xf numFmtId="164" fontId="15" fillId="0" borderId="0" xfId="1" applyFont="1"/>
    <xf numFmtId="0" fontId="17" fillId="0" borderId="0" xfId="0" applyFont="1"/>
    <xf numFmtId="0" fontId="18" fillId="0" borderId="0" xfId="0" applyFont="1"/>
    <xf numFmtId="44" fontId="15" fillId="0" borderId="0" xfId="0" applyNumberFormat="1" applyFont="1"/>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50800</xdr:rowOff>
    </xdr:from>
    <xdr:to>
      <xdr:col>11</xdr:col>
      <xdr:colOff>622300</xdr:colOff>
      <xdr:row>9</xdr:row>
      <xdr:rowOff>12700</xdr:rowOff>
    </xdr:to>
    <xdr:sp macro="" textlink="">
      <xdr:nvSpPr>
        <xdr:cNvPr id="2" name="TextBox 1"/>
        <xdr:cNvSpPr txBox="1"/>
      </xdr:nvSpPr>
      <xdr:spPr>
        <a:xfrm>
          <a:off x="38100" y="50800"/>
          <a:ext cx="7988300" cy="167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1). I</a:t>
          </a:r>
          <a:r>
            <a:rPr lang="en-US" sz="1100" baseline="0"/>
            <a:t> bought the Apple.Inc stock</a:t>
          </a:r>
          <a:r>
            <a:rPr lang="ar-SA" sz="1100" baseline="0"/>
            <a:t> </a:t>
          </a:r>
          <a:r>
            <a:rPr lang="en-US" sz="1100" baseline="0"/>
            <a:t>with a higher value, I thought it will be increase by time, but unfurtently the market last weeks went way down. the same thing happened to most of my invesetments. there are no profit for both investments Apple and ATAC shares. </a:t>
          </a:r>
        </a:p>
        <a:p>
          <a:r>
            <a:rPr lang="en-US" sz="1100" baseline="0"/>
            <a:t>2.) I chosed to reinvest the total amount of $23,262.60. on the NVIDA shares, hoping that it will raise its value by time and recive as much of the income as possiable. </a:t>
          </a:r>
        </a:p>
        <a:p>
          <a:endParaRPr lang="en-US" sz="1100" baseline="0"/>
        </a:p>
        <a:p>
          <a:r>
            <a:rPr lang="en-US" sz="1100" baseline="0"/>
            <a:t>3.) capital gain= ((End. Value - Beg. Value)+ Income)/ beggining protfalio value.</a:t>
          </a:r>
        </a:p>
        <a:p>
          <a:r>
            <a:rPr lang="en-US" sz="1100" baseline="0"/>
            <a:t>                          =  (    285.47    +     (- 4771.26))/ 99,995.39</a:t>
          </a:r>
        </a:p>
        <a:p>
          <a:r>
            <a:rPr lang="en-US" sz="1100" baseline="0"/>
            <a:t>                          = -  .0449  =  -4%</a:t>
          </a:r>
        </a:p>
        <a:p>
          <a:r>
            <a:rPr lang="en-US" sz="1100" baseline="0"/>
            <a:t>I haveit below the market par value because there are no earning from all the investments.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304800</xdr:colOff>
      <xdr:row>1</xdr:row>
      <xdr:rowOff>0</xdr:rowOff>
    </xdr:from>
    <xdr:ext cx="6731202" cy="609013"/>
    <xdr:sp macro="" textlink="">
      <xdr:nvSpPr>
        <xdr:cNvPr id="2" name="TextBox 1"/>
        <xdr:cNvSpPr txBox="1"/>
      </xdr:nvSpPr>
      <xdr:spPr>
        <a:xfrm>
          <a:off x="304800" y="190500"/>
          <a:ext cx="6731202"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1)_</a:t>
          </a:r>
          <a:r>
            <a:rPr lang="en-US" sz="1100" baseline="0"/>
            <a:t> I chose to sell "ALLY Financial Inc." becasue it's decreasing in the price value since I bought the shares. </a:t>
          </a:r>
        </a:p>
        <a:p>
          <a:r>
            <a:rPr lang="en-US" sz="1100" baseline="0"/>
            <a:t>2)_ the replacement would be "Amgen Inc." for $5,337.00 seeking to gain more profit if the price would be higher.</a:t>
          </a:r>
        </a:p>
        <a:p>
          <a:r>
            <a:rPr lang="en-US" sz="1100" baseline="0"/>
            <a:t>3)_ I gained roughly 12% from the total portfalio, which is above the S&amp;P500 market.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241300</xdr:colOff>
      <xdr:row>0</xdr:row>
      <xdr:rowOff>165100</xdr:rowOff>
    </xdr:from>
    <xdr:to>
      <xdr:col>12</xdr:col>
      <xdr:colOff>596900</xdr:colOff>
      <xdr:row>26</xdr:row>
      <xdr:rowOff>114300</xdr:rowOff>
    </xdr:to>
    <xdr:sp macro="" textlink="">
      <xdr:nvSpPr>
        <xdr:cNvPr id="2" name="TextBox 1"/>
        <xdr:cNvSpPr txBox="1"/>
      </xdr:nvSpPr>
      <xdr:spPr>
        <a:xfrm>
          <a:off x="241300" y="165100"/>
          <a:ext cx="10261600" cy="4902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1)_ After calculating the portfalio's average</a:t>
          </a:r>
          <a:r>
            <a:rPr lang="en-US" sz="1100" baseline="0"/>
            <a:t> beta 0.87. which is below the overall market risk, that's mean my portfalio's riskness is steady comparing to the overall market.</a:t>
          </a:r>
        </a:p>
        <a:p>
          <a:endParaRPr lang="en-US" sz="1100" baseline="0"/>
        </a:p>
        <a:p>
          <a:r>
            <a:rPr lang="en-US" sz="1100" baseline="0"/>
            <a:t>2)_ My portfalio performance (HPR) with ignoring the fees is (95,427.94) -6%. </a:t>
          </a:r>
        </a:p>
        <a:p>
          <a:r>
            <a:rPr lang="en-US" sz="1100" baseline="0"/>
            <a:t>       After deducting the transcation fees is equal (94,855.13) -8%</a:t>
          </a:r>
        </a:p>
        <a:p>
          <a:endParaRPr lang="en-US" sz="1100" baseline="0"/>
        </a:p>
        <a:p>
          <a:r>
            <a:rPr lang="en-US" sz="1100" baseline="0"/>
            <a:t>3)_ the reason why I did not include any commidites to my portfalio is because they are not pretty much valuable for a short-term investments, it is good investment for example to the retirement investors. </a:t>
          </a:r>
        </a:p>
        <a:p>
          <a:endParaRPr lang="en-US" sz="1100" baseline="0"/>
        </a:p>
        <a:p>
          <a:r>
            <a:rPr lang="en-US" sz="1100" baseline="0"/>
            <a:t>4)_ I figure out that I have to make so much research for any investement I would prefer to invest in, and keep on track watching the market news. I honestly did not track them very often, and also, the reason why I lost my goal is beacus I was not watching the stock prices are went down in the middle of this semester. Hopefully I would learn from that for my next investemnet.</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S31"/>
  <sheetViews>
    <sheetView topLeftCell="A5" zoomScale="85" workbookViewId="0">
      <selection activeCell="A29" sqref="A29:D29"/>
    </sheetView>
  </sheetViews>
  <sheetFormatPr defaultColWidth="8.85546875" defaultRowHeight="15"/>
  <cols>
    <col min="1" max="1" width="36.85546875" customWidth="1"/>
    <col min="2" max="2" width="13.42578125" customWidth="1"/>
    <col min="3" max="3" width="15.140625" customWidth="1"/>
    <col min="4" max="5" width="18.7109375" customWidth="1"/>
    <col min="6" max="7" width="15.28515625" customWidth="1"/>
    <col min="8" max="8" width="14.85546875" customWidth="1"/>
    <col min="9" max="10" width="13.42578125" customWidth="1"/>
    <col min="11" max="12" width="16.28515625" customWidth="1"/>
    <col min="13" max="13" width="13.85546875" customWidth="1"/>
    <col min="14" max="15" width="14" customWidth="1"/>
    <col min="16" max="17" width="14.28515625" customWidth="1"/>
    <col min="18" max="18" width="14.140625" customWidth="1"/>
    <col min="19" max="19" width="13.7109375" customWidth="1"/>
  </cols>
  <sheetData>
    <row r="1" spans="1:19" ht="24" customHeight="1">
      <c r="A1" s="35" t="s">
        <v>29</v>
      </c>
      <c r="B1" s="36"/>
    </row>
    <row r="2" spans="1:19" ht="35.1" customHeight="1">
      <c r="A2" s="34" t="s">
        <v>18</v>
      </c>
      <c r="B2" s="121" t="s">
        <v>40</v>
      </c>
      <c r="C2" s="122"/>
      <c r="D2" s="122"/>
      <c r="E2" s="122"/>
      <c r="F2" s="122"/>
      <c r="G2" s="122"/>
      <c r="H2" s="122"/>
      <c r="I2" s="123"/>
      <c r="J2" s="59"/>
    </row>
    <row r="3" spans="1:19" ht="49.5" customHeight="1">
      <c r="A3" s="7"/>
      <c r="B3" s="7"/>
      <c r="C3" s="7"/>
      <c r="D3" s="31" t="s">
        <v>4</v>
      </c>
      <c r="E3" s="7"/>
      <c r="F3" s="1"/>
      <c r="G3" s="2"/>
      <c r="H3" s="2"/>
      <c r="I3" s="3"/>
      <c r="J3" s="7"/>
      <c r="K3" s="18"/>
      <c r="L3" s="7"/>
      <c r="M3" s="19"/>
      <c r="N3" s="20"/>
      <c r="O3" s="19"/>
      <c r="P3" s="1"/>
      <c r="Q3" s="7"/>
      <c r="R3" s="2"/>
      <c r="S3" s="3"/>
    </row>
    <row r="4" spans="1:19" ht="49.5" customHeight="1">
      <c r="A4" s="8"/>
      <c r="B4" s="8"/>
      <c r="C4" s="8"/>
      <c r="D4" s="32" t="s">
        <v>5</v>
      </c>
      <c r="E4" s="39" t="s">
        <v>12</v>
      </c>
      <c r="F4" s="40"/>
      <c r="G4" s="40"/>
      <c r="H4" s="5"/>
      <c r="I4" s="6"/>
      <c r="J4" s="8"/>
      <c r="K4" s="21" t="s">
        <v>16</v>
      </c>
      <c r="L4" s="62"/>
      <c r="M4" s="22"/>
      <c r="N4" s="23"/>
      <c r="O4" s="8"/>
      <c r="P4" s="4" t="s">
        <v>17</v>
      </c>
      <c r="Q4" s="62"/>
      <c r="R4" s="5"/>
      <c r="S4" s="6"/>
    </row>
    <row r="5" spans="1:19">
      <c r="A5" s="8"/>
      <c r="B5" s="8"/>
      <c r="C5" s="10" t="s">
        <v>2</v>
      </c>
      <c r="D5" s="32" t="s">
        <v>6</v>
      </c>
      <c r="E5" s="10" t="s">
        <v>2</v>
      </c>
      <c r="F5" s="16" t="s">
        <v>4</v>
      </c>
      <c r="G5" s="50" t="s">
        <v>30</v>
      </c>
      <c r="H5" s="14" t="s">
        <v>8</v>
      </c>
      <c r="I5" s="12" t="s">
        <v>10</v>
      </c>
      <c r="J5" s="10" t="s">
        <v>2</v>
      </c>
      <c r="K5" s="24" t="s">
        <v>4</v>
      </c>
      <c r="L5" s="63" t="s">
        <v>30</v>
      </c>
      <c r="M5" s="25" t="s">
        <v>8</v>
      </c>
      <c r="N5" s="26" t="s">
        <v>10</v>
      </c>
      <c r="O5" s="10" t="s">
        <v>2</v>
      </c>
      <c r="P5" s="16" t="s">
        <v>4</v>
      </c>
      <c r="Q5" s="63" t="s">
        <v>30</v>
      </c>
      <c r="R5" s="14" t="s">
        <v>8</v>
      </c>
      <c r="S5" s="12" t="s">
        <v>10</v>
      </c>
    </row>
    <row r="6" spans="1:19">
      <c r="A6" s="9" t="s">
        <v>0</v>
      </c>
      <c r="B6" s="11" t="s">
        <v>1</v>
      </c>
      <c r="C6" s="11" t="s">
        <v>3</v>
      </c>
      <c r="D6" s="33" t="s">
        <v>7</v>
      </c>
      <c r="E6" s="11" t="s">
        <v>3</v>
      </c>
      <c r="F6" s="29">
        <v>42779</v>
      </c>
      <c r="G6" s="49"/>
      <c r="H6" s="15" t="s">
        <v>9</v>
      </c>
      <c r="I6" s="13" t="s">
        <v>11</v>
      </c>
      <c r="J6" s="11" t="s">
        <v>3</v>
      </c>
      <c r="K6" s="30">
        <v>42816</v>
      </c>
      <c r="L6" s="64"/>
      <c r="M6" s="27" t="s">
        <v>9</v>
      </c>
      <c r="N6" s="28" t="s">
        <v>11</v>
      </c>
      <c r="O6" s="11" t="s">
        <v>3</v>
      </c>
      <c r="P6" s="29">
        <v>42851</v>
      </c>
      <c r="Q6" s="64"/>
      <c r="R6" s="15" t="s">
        <v>9</v>
      </c>
      <c r="S6" s="13" t="s">
        <v>11</v>
      </c>
    </row>
    <row r="7" spans="1:19">
      <c r="A7" s="38" t="s">
        <v>13</v>
      </c>
      <c r="B7" s="5"/>
      <c r="C7" s="5"/>
      <c r="D7" s="5"/>
      <c r="E7" s="5"/>
      <c r="F7" s="5"/>
      <c r="G7" s="5"/>
      <c r="H7" s="5"/>
      <c r="I7" s="5"/>
      <c r="J7" s="5"/>
      <c r="K7" s="5"/>
      <c r="L7" s="5"/>
      <c r="M7" s="5"/>
      <c r="N7" s="5"/>
      <c r="O7" s="5"/>
      <c r="P7" s="5"/>
      <c r="Q7" s="5"/>
      <c r="R7" s="5"/>
      <c r="S7" s="5"/>
    </row>
    <row r="8" spans="1:19">
      <c r="A8" s="17" t="s">
        <v>32</v>
      </c>
      <c r="B8" s="44">
        <v>100</v>
      </c>
      <c r="C8" s="42">
        <v>176.15</v>
      </c>
      <c r="D8" s="45">
        <f>B8*C8</f>
        <v>17615</v>
      </c>
      <c r="E8" s="45">
        <v>162.71</v>
      </c>
      <c r="F8" s="42">
        <f>E8*B8</f>
        <v>16271</v>
      </c>
      <c r="G8" s="42">
        <f>F8-D8</f>
        <v>-1344</v>
      </c>
      <c r="H8" s="42">
        <f>0.63*B8</f>
        <v>63</v>
      </c>
      <c r="I8" s="41">
        <f>((F8-D8)+G8)/D8</f>
        <v>-0.1525972182798751</v>
      </c>
      <c r="J8" s="83">
        <v>0</v>
      </c>
      <c r="K8" s="83">
        <v>0</v>
      </c>
      <c r="L8" s="83">
        <v>0</v>
      </c>
      <c r="M8" s="83">
        <v>0</v>
      </c>
      <c r="N8" s="84">
        <v>0</v>
      </c>
      <c r="O8" s="84"/>
      <c r="P8" s="83">
        <v>0</v>
      </c>
      <c r="Q8" s="83"/>
      <c r="R8" s="83">
        <v>0</v>
      </c>
      <c r="S8" s="83">
        <v>0</v>
      </c>
    </row>
    <row r="9" spans="1:19">
      <c r="A9" s="17" t="s">
        <v>27</v>
      </c>
      <c r="B9" s="44">
        <v>95</v>
      </c>
      <c r="C9" s="42">
        <v>43.54</v>
      </c>
      <c r="D9" s="45">
        <f t="shared" ref="D9:D10" si="0">B9*C9</f>
        <v>4136.3</v>
      </c>
      <c r="E9" s="45">
        <v>44.83</v>
      </c>
      <c r="F9" s="42">
        <f>E9*B9</f>
        <v>4258.8499999999995</v>
      </c>
      <c r="G9" s="42">
        <f t="shared" ref="G9:G21" si="1">F9-D9</f>
        <v>122.54999999999927</v>
      </c>
      <c r="H9" s="42">
        <f>0.03*B9</f>
        <v>2.85</v>
      </c>
      <c r="I9" s="41">
        <f t="shared" ref="I9:I21" si="2">((F9-D9)+G9)/D9</f>
        <v>5.9255856683509064E-2</v>
      </c>
      <c r="J9" s="42">
        <v>51.56</v>
      </c>
      <c r="K9" s="65">
        <f>J9*B9</f>
        <v>4898.2</v>
      </c>
      <c r="L9" s="66">
        <f>K9-F9</f>
        <v>639.35000000000036</v>
      </c>
      <c r="M9" s="65">
        <f>0.3*B9</f>
        <v>28.5</v>
      </c>
      <c r="N9" s="73">
        <f>((K9-F9)+L9+M9)/F9</f>
        <v>0.30693731875975933</v>
      </c>
      <c r="O9" s="42">
        <v>52.59</v>
      </c>
      <c r="P9" s="65">
        <f>O9*B9</f>
        <v>4996.05</v>
      </c>
      <c r="Q9" s="65">
        <f>P9-K9</f>
        <v>97.850000000000364</v>
      </c>
      <c r="R9" s="65">
        <v>0</v>
      </c>
      <c r="S9" s="108">
        <f>((P9-K9)+Q9+R9)/K9</f>
        <v>3.995345228859596E-2</v>
      </c>
    </row>
    <row r="10" spans="1:19">
      <c r="A10" s="17" t="s">
        <v>28</v>
      </c>
      <c r="B10" s="44">
        <v>95</v>
      </c>
      <c r="C10" s="42">
        <v>36.82</v>
      </c>
      <c r="D10" s="45">
        <f t="shared" si="0"/>
        <v>3497.9</v>
      </c>
      <c r="E10" s="45">
        <v>34.659999999999997</v>
      </c>
      <c r="F10" s="42">
        <f>E10*B10</f>
        <v>3292.7</v>
      </c>
      <c r="G10" s="42">
        <f t="shared" si="1"/>
        <v>-205.20000000000027</v>
      </c>
      <c r="H10" s="42">
        <f>0.34*B10</f>
        <v>32.300000000000004</v>
      </c>
      <c r="I10" s="41">
        <f t="shared" si="2"/>
        <v>-0.11732753938077148</v>
      </c>
      <c r="J10" s="42">
        <v>36.270000000000003</v>
      </c>
      <c r="K10" s="65">
        <f t="shared" ref="K10:K21" si="3">J10*B10</f>
        <v>3445.65</v>
      </c>
      <c r="L10" s="66">
        <f t="shared" ref="L10:L21" si="4">K10-F10</f>
        <v>152.95000000000027</v>
      </c>
      <c r="M10" s="65">
        <v>0</v>
      </c>
      <c r="N10" s="73">
        <f t="shared" ref="N10:N20" si="5">((K10-F10)+L10+M10)/F10</f>
        <v>9.2902481246393706E-2</v>
      </c>
      <c r="O10" s="42">
        <v>37.06</v>
      </c>
      <c r="P10" s="65">
        <f>O10*B10</f>
        <v>3520.7000000000003</v>
      </c>
      <c r="Q10" s="65">
        <f t="shared" ref="Q10:Q21" si="6">P10-K10</f>
        <v>75.050000000000182</v>
      </c>
      <c r="R10" s="65">
        <v>0</v>
      </c>
      <c r="S10" s="108">
        <f t="shared" ref="S10:S21" si="7">((P10-K10)+Q10+R10)/K10</f>
        <v>4.3562172594430765E-2</v>
      </c>
    </row>
    <row r="11" spans="1:19">
      <c r="A11" s="52" t="s">
        <v>33</v>
      </c>
      <c r="B11" s="44">
        <v>103</v>
      </c>
      <c r="C11" s="44"/>
      <c r="D11" s="53" t="s">
        <v>31</v>
      </c>
      <c r="E11" s="42">
        <v>226.56</v>
      </c>
      <c r="F11" s="45">
        <f>B11*E11</f>
        <v>23335.68</v>
      </c>
      <c r="G11" s="44"/>
      <c r="H11" s="44"/>
      <c r="I11" s="41"/>
      <c r="J11" s="42">
        <v>248.56</v>
      </c>
      <c r="K11" s="65">
        <f t="shared" si="3"/>
        <v>25601.68</v>
      </c>
      <c r="L11" s="66">
        <f t="shared" si="4"/>
        <v>2266</v>
      </c>
      <c r="M11" s="65">
        <v>0</v>
      </c>
      <c r="N11" s="73">
        <f t="shared" si="5"/>
        <v>0.1942090395480226</v>
      </c>
      <c r="O11" s="42">
        <v>221.9</v>
      </c>
      <c r="P11" s="65">
        <f t="shared" ref="P11:P21" si="8">O11*B11</f>
        <v>22855.7</v>
      </c>
      <c r="Q11" s="65">
        <f t="shared" si="6"/>
        <v>-2745.9799999999996</v>
      </c>
      <c r="R11" s="65">
        <v>0</v>
      </c>
      <c r="S11" s="108">
        <f t="shared" si="7"/>
        <v>-0.21451560991309943</v>
      </c>
    </row>
    <row r="12" spans="1:19">
      <c r="A12" s="72" t="s">
        <v>37</v>
      </c>
      <c r="B12" s="44">
        <v>30</v>
      </c>
      <c r="C12" s="44" t="s">
        <v>35</v>
      </c>
      <c r="D12" s="44" t="s">
        <v>35</v>
      </c>
      <c r="E12" s="44" t="s">
        <v>35</v>
      </c>
      <c r="F12" s="44" t="s">
        <v>35</v>
      </c>
      <c r="G12" s="44" t="s">
        <v>35</v>
      </c>
      <c r="H12" s="44" t="s">
        <v>35</v>
      </c>
      <c r="I12" s="44" t="s">
        <v>35</v>
      </c>
      <c r="J12" s="42">
        <v>177.9</v>
      </c>
      <c r="K12" s="65">
        <f>J12*B12</f>
        <v>5337</v>
      </c>
      <c r="L12" s="66"/>
      <c r="M12" s="85">
        <v>0</v>
      </c>
      <c r="N12" s="95"/>
      <c r="O12" s="96">
        <v>175.89</v>
      </c>
      <c r="P12" s="85">
        <f t="shared" si="8"/>
        <v>5276.7</v>
      </c>
      <c r="Q12" s="65">
        <f t="shared" si="6"/>
        <v>-60.300000000000182</v>
      </c>
      <c r="R12" s="107">
        <f>5.08*B12</f>
        <v>152.4</v>
      </c>
      <c r="S12" s="108">
        <f t="shared" si="7"/>
        <v>5.9584035975266333E-3</v>
      </c>
    </row>
    <row r="13" spans="1:19">
      <c r="A13" s="37" t="s">
        <v>14</v>
      </c>
      <c r="B13" s="88"/>
      <c r="C13" s="88"/>
      <c r="D13" s="88"/>
      <c r="E13" s="88"/>
      <c r="F13" s="89"/>
      <c r="G13" s="89"/>
      <c r="H13" s="88"/>
      <c r="I13" s="90"/>
      <c r="J13" s="89"/>
      <c r="K13" s="91"/>
      <c r="L13" s="92"/>
      <c r="M13" s="91"/>
      <c r="N13" s="93"/>
      <c r="O13" s="89"/>
      <c r="P13" s="91"/>
      <c r="Q13" s="65"/>
      <c r="R13" s="94"/>
      <c r="S13" s="108"/>
    </row>
    <row r="14" spans="1:19">
      <c r="A14" s="17" t="s">
        <v>34</v>
      </c>
      <c r="B14" s="86">
        <v>220</v>
      </c>
      <c r="C14" s="67">
        <v>34.1</v>
      </c>
      <c r="D14" s="87">
        <f>B14*C14</f>
        <v>7502</v>
      </c>
      <c r="E14" s="87">
        <v>31.78</v>
      </c>
      <c r="F14" s="67">
        <f>E14*B14</f>
        <v>6991.6</v>
      </c>
      <c r="G14" s="67">
        <f t="shared" si="1"/>
        <v>-510.39999999999964</v>
      </c>
      <c r="H14" s="67">
        <v>0</v>
      </c>
      <c r="I14" s="68">
        <f t="shared" si="2"/>
        <v>-0.13607038123167145</v>
      </c>
      <c r="J14" s="97">
        <v>0</v>
      </c>
      <c r="K14" s="97">
        <v>0</v>
      </c>
      <c r="L14" s="98">
        <v>0</v>
      </c>
      <c r="M14" s="99">
        <v>0</v>
      </c>
      <c r="N14" s="100">
        <v>0</v>
      </c>
      <c r="O14" s="97"/>
      <c r="P14" s="99"/>
      <c r="Q14" s="102"/>
      <c r="R14" s="101"/>
      <c r="S14" s="109"/>
    </row>
    <row r="15" spans="1:19">
      <c r="A15" s="17" t="s">
        <v>24</v>
      </c>
      <c r="B15" s="44">
        <v>240</v>
      </c>
      <c r="C15" s="42">
        <v>64.239999999999995</v>
      </c>
      <c r="D15" s="45">
        <f t="shared" ref="D15:D16" si="9">B15*C15</f>
        <v>15417.599999999999</v>
      </c>
      <c r="E15" s="45">
        <v>59.69</v>
      </c>
      <c r="F15" s="42">
        <f>E15*B15</f>
        <v>14325.599999999999</v>
      </c>
      <c r="G15" s="42">
        <f t="shared" si="1"/>
        <v>-1092</v>
      </c>
      <c r="H15" s="42">
        <v>0</v>
      </c>
      <c r="I15" s="41">
        <f t="shared" si="2"/>
        <v>-0.1416562889165629</v>
      </c>
      <c r="J15" s="42">
        <v>65.17</v>
      </c>
      <c r="K15" s="65">
        <f t="shared" si="3"/>
        <v>15640.800000000001</v>
      </c>
      <c r="L15" s="66">
        <f t="shared" si="4"/>
        <v>1315.2000000000025</v>
      </c>
      <c r="M15" s="65">
        <v>0</v>
      </c>
      <c r="N15" s="73">
        <f t="shared" si="5"/>
        <v>0.18361534595409654</v>
      </c>
      <c r="O15" s="42">
        <v>68.38</v>
      </c>
      <c r="P15" s="65">
        <f t="shared" si="8"/>
        <v>16411.199999999997</v>
      </c>
      <c r="Q15" s="65">
        <f t="shared" si="6"/>
        <v>770.399999999996</v>
      </c>
      <c r="R15" s="65">
        <v>0</v>
      </c>
      <c r="S15" s="108">
        <f t="shared" si="7"/>
        <v>9.8511585085161363E-2</v>
      </c>
    </row>
    <row r="16" spans="1:19">
      <c r="A16" s="17" t="s">
        <v>25</v>
      </c>
      <c r="B16" s="44">
        <v>122</v>
      </c>
      <c r="C16" s="42">
        <v>69.59</v>
      </c>
      <c r="D16" s="45">
        <f t="shared" si="9"/>
        <v>8489.98</v>
      </c>
      <c r="E16" s="45">
        <v>63.03</v>
      </c>
      <c r="F16" s="42">
        <f>E16*B16</f>
        <v>7689.66</v>
      </c>
      <c r="G16" s="42">
        <f t="shared" si="1"/>
        <v>-800.31999999999971</v>
      </c>
      <c r="H16" s="42">
        <v>0</v>
      </c>
      <c r="I16" s="41">
        <f t="shared" si="2"/>
        <v>-0.18853283517746797</v>
      </c>
      <c r="J16" s="42">
        <v>69.47</v>
      </c>
      <c r="K16" s="65">
        <f t="shared" si="3"/>
        <v>8475.34</v>
      </c>
      <c r="L16" s="66">
        <f t="shared" si="4"/>
        <v>785.68000000000029</v>
      </c>
      <c r="M16" s="85">
        <v>0</v>
      </c>
      <c r="N16" s="95">
        <f t="shared" si="5"/>
        <v>0.20434713628430914</v>
      </c>
      <c r="O16" s="96">
        <v>74.42</v>
      </c>
      <c r="P16" s="85">
        <f t="shared" si="8"/>
        <v>9079.24</v>
      </c>
      <c r="Q16" s="65">
        <f t="shared" si="6"/>
        <v>603.89999999999964</v>
      </c>
      <c r="R16" s="65">
        <v>0</v>
      </c>
      <c r="S16" s="108">
        <f t="shared" si="7"/>
        <v>0.14250755721894334</v>
      </c>
    </row>
    <row r="17" spans="1:19">
      <c r="A17" s="37" t="s">
        <v>15</v>
      </c>
      <c r="B17" s="43"/>
      <c r="C17" s="43"/>
      <c r="D17" s="43"/>
      <c r="E17" s="43"/>
      <c r="F17" s="46"/>
      <c r="G17" s="51"/>
      <c r="H17" s="59"/>
      <c r="I17" s="60"/>
      <c r="J17" s="51"/>
      <c r="K17" s="70"/>
      <c r="L17" s="71"/>
      <c r="M17" s="91"/>
      <c r="N17" s="93"/>
      <c r="O17" s="89"/>
      <c r="P17" s="91"/>
      <c r="Q17" s="65"/>
      <c r="S17" s="108"/>
    </row>
    <row r="18" spans="1:19">
      <c r="A18" s="17" t="s">
        <v>38</v>
      </c>
      <c r="B18" s="44">
        <v>165</v>
      </c>
      <c r="C18" s="42">
        <v>78.930000000000007</v>
      </c>
      <c r="D18" s="42">
        <f>B18*C18</f>
        <v>13023.45</v>
      </c>
      <c r="E18" s="42">
        <v>75.95</v>
      </c>
      <c r="F18" s="42">
        <f>E18*B18</f>
        <v>12531.75</v>
      </c>
      <c r="G18" s="42">
        <f t="shared" si="1"/>
        <v>-491.70000000000073</v>
      </c>
      <c r="H18" s="42">
        <f>0.35*B18</f>
        <v>57.749999999999993</v>
      </c>
      <c r="I18" s="41">
        <f t="shared" si="2"/>
        <v>-7.550994552134814E-2</v>
      </c>
      <c r="J18" s="42">
        <v>74.86</v>
      </c>
      <c r="K18" s="65">
        <f t="shared" si="3"/>
        <v>12351.9</v>
      </c>
      <c r="L18" s="66">
        <f t="shared" si="4"/>
        <v>-179.85000000000036</v>
      </c>
      <c r="M18" s="69">
        <v>0</v>
      </c>
      <c r="N18" s="75">
        <f t="shared" si="5"/>
        <v>-2.8703094140882218E-2</v>
      </c>
      <c r="O18" s="67">
        <v>72.900000000000006</v>
      </c>
      <c r="P18" s="69">
        <f t="shared" si="8"/>
        <v>12028.500000000002</v>
      </c>
      <c r="Q18" s="65">
        <f t="shared" si="6"/>
        <v>-323.39999999999782</v>
      </c>
      <c r="R18" s="65">
        <f>0.35*B18</f>
        <v>57.749999999999993</v>
      </c>
      <c r="S18" s="108">
        <f t="shared" si="7"/>
        <v>-4.7689019503072048E-2</v>
      </c>
    </row>
    <row r="19" spans="1:19">
      <c r="A19" s="17" t="s">
        <v>23</v>
      </c>
      <c r="B19" s="44">
        <v>100</v>
      </c>
      <c r="C19" s="42">
        <v>152.99</v>
      </c>
      <c r="D19" s="42">
        <f t="shared" ref="D19:D21" si="10">B19*C19</f>
        <v>15299</v>
      </c>
      <c r="E19" s="42">
        <v>152.80000000000001</v>
      </c>
      <c r="F19" s="42">
        <f>E19*B19</f>
        <v>15280.000000000002</v>
      </c>
      <c r="G19" s="42">
        <f t="shared" si="1"/>
        <v>-18.999999999998181</v>
      </c>
      <c r="H19" s="42">
        <f>0.75*B19</f>
        <v>75</v>
      </c>
      <c r="I19" s="41">
        <f t="shared" si="2"/>
        <v>-2.4838224720567592E-3</v>
      </c>
      <c r="J19" s="42">
        <v>158.88999999999999</v>
      </c>
      <c r="K19" s="65">
        <f t="shared" si="3"/>
        <v>15888.999999999998</v>
      </c>
      <c r="L19" s="66">
        <f t="shared" si="4"/>
        <v>608.99999999999636</v>
      </c>
      <c r="M19" s="65">
        <v>0</v>
      </c>
      <c r="N19" s="73">
        <f t="shared" si="5"/>
        <v>7.9712041884816273E-2</v>
      </c>
      <c r="O19" s="42">
        <v>145.69999999999999</v>
      </c>
      <c r="P19" s="65">
        <f t="shared" si="8"/>
        <v>14569.999999999998</v>
      </c>
      <c r="Q19" s="65">
        <f t="shared" si="6"/>
        <v>-1319</v>
      </c>
      <c r="R19" s="65">
        <f>0.75*B19</f>
        <v>75</v>
      </c>
      <c r="S19" s="108">
        <f t="shared" si="7"/>
        <v>-0.16130656428976023</v>
      </c>
    </row>
    <row r="20" spans="1:19">
      <c r="A20" s="17" t="s">
        <v>39</v>
      </c>
      <c r="B20" s="44">
        <v>199</v>
      </c>
      <c r="C20" s="42">
        <v>30.62</v>
      </c>
      <c r="D20" s="42">
        <f t="shared" si="10"/>
        <v>6093.38</v>
      </c>
      <c r="E20" s="42">
        <v>28.07</v>
      </c>
      <c r="F20" s="42">
        <f>E20*B20</f>
        <v>5585.93</v>
      </c>
      <c r="G20" s="42">
        <f t="shared" si="1"/>
        <v>-507.44999999999982</v>
      </c>
      <c r="H20" s="42">
        <f>0.13*B20</f>
        <v>25.87</v>
      </c>
      <c r="I20" s="41">
        <f t="shared" si="2"/>
        <v>-0.16655780535597642</v>
      </c>
      <c r="J20" s="42">
        <v>26.87</v>
      </c>
      <c r="K20" s="65">
        <f t="shared" si="3"/>
        <v>5347.13</v>
      </c>
      <c r="L20" s="66">
        <f t="shared" si="4"/>
        <v>-238.80000000000018</v>
      </c>
      <c r="M20" s="65">
        <v>0</v>
      </c>
      <c r="N20" s="73">
        <f t="shared" si="5"/>
        <v>-8.5500534378339932E-2</v>
      </c>
      <c r="O20" s="83">
        <v>0</v>
      </c>
      <c r="P20" s="102">
        <f t="shared" si="8"/>
        <v>0</v>
      </c>
      <c r="Q20" s="102"/>
      <c r="R20" s="102">
        <v>0</v>
      </c>
      <c r="S20" s="109"/>
    </row>
    <row r="21" spans="1:19">
      <c r="A21" s="17" t="s">
        <v>26</v>
      </c>
      <c r="B21" s="44">
        <v>82</v>
      </c>
      <c r="C21" s="42">
        <v>108.79</v>
      </c>
      <c r="D21" s="42">
        <f t="shared" si="10"/>
        <v>8920.7800000000007</v>
      </c>
      <c r="E21" s="42">
        <v>109.72</v>
      </c>
      <c r="F21" s="42">
        <f>E21*B21</f>
        <v>8997.0399999999991</v>
      </c>
      <c r="G21" s="42">
        <f t="shared" si="1"/>
        <v>76.259999999998399</v>
      </c>
      <c r="H21" s="42">
        <f>0.35*B21</f>
        <v>28.7</v>
      </c>
      <c r="I21" s="41">
        <f t="shared" si="2"/>
        <v>1.7097159665410065E-2</v>
      </c>
      <c r="J21" s="42">
        <v>115.3</v>
      </c>
      <c r="K21" s="65">
        <f t="shared" si="3"/>
        <v>9454.6</v>
      </c>
      <c r="L21" s="66">
        <f t="shared" si="4"/>
        <v>457.56000000000131</v>
      </c>
      <c r="M21" s="103">
        <v>0</v>
      </c>
      <c r="N21" s="104"/>
      <c r="O21" s="105">
        <v>114.22</v>
      </c>
      <c r="P21" s="103">
        <f t="shared" si="8"/>
        <v>9366.0399999999991</v>
      </c>
      <c r="Q21" s="65">
        <f t="shared" si="6"/>
        <v>-88.56000000000131</v>
      </c>
      <c r="R21" s="65">
        <f t="shared" ref="R21" si="11">0.35*B21</f>
        <v>28.7</v>
      </c>
      <c r="S21" s="108">
        <f t="shared" si="7"/>
        <v>-1.5698178664354138E-2</v>
      </c>
    </row>
    <row r="22" spans="1:19">
      <c r="N22" s="56"/>
      <c r="O22" s="58"/>
    </row>
    <row r="23" spans="1:19">
      <c r="A23" t="s">
        <v>19</v>
      </c>
      <c r="D23" s="79">
        <f>SUM(D8:D22)</f>
        <v>99995.39</v>
      </c>
      <c r="E23" s="47"/>
      <c r="F23" s="48">
        <f>SUM(F8:F22)-F11</f>
        <v>95224.129999999976</v>
      </c>
      <c r="G23" s="48">
        <f>SUM(G8:G21)</f>
        <v>-4771.2600000000011</v>
      </c>
      <c r="H23" s="45">
        <f>SUM(H8:H21)</f>
        <v>285.46999999999997</v>
      </c>
      <c r="I23" s="57">
        <f>(F23+H23-D23)/D23</f>
        <v>-4.4859968044527077E-2</v>
      </c>
      <c r="J23" s="61"/>
      <c r="K23" s="76">
        <f>SUM(K9:K22)-K12</f>
        <v>101104.3</v>
      </c>
      <c r="L23" s="66">
        <f>SUM(L9:L21)</f>
        <v>5807.0900000000011</v>
      </c>
      <c r="M23" s="65">
        <v>28.5</v>
      </c>
      <c r="N23" s="73">
        <f>(M23+L23+K23-F23)/F23</f>
        <v>0.1230335210203551</v>
      </c>
      <c r="O23" s="74"/>
      <c r="P23" s="66">
        <f>SUM(P9:P22)</f>
        <v>98104.12999999999</v>
      </c>
      <c r="Q23" s="66">
        <f>SUM(Q9:Q21)</f>
        <v>-2990.0400000000027</v>
      </c>
      <c r="R23" s="66">
        <f>SUM(R12:R21)</f>
        <v>313.84999999999997</v>
      </c>
      <c r="S23" s="108">
        <f>(R23+Q23+P23-K23)/K23</f>
        <v>-5.6143606157206122E-2</v>
      </c>
    </row>
    <row r="24" spans="1:19">
      <c r="D24" s="43"/>
      <c r="E24" s="43"/>
      <c r="F24" s="43"/>
      <c r="G24" s="43"/>
      <c r="H24" s="43"/>
      <c r="I24" s="43"/>
      <c r="J24" s="56"/>
    </row>
    <row r="25" spans="1:19">
      <c r="A25" t="s">
        <v>20</v>
      </c>
      <c r="D25" s="77">
        <v>95224.13</v>
      </c>
      <c r="E25" s="43"/>
      <c r="F25" s="54">
        <f>SUM(F8:F21)-F11</f>
        <v>95224.129999999976</v>
      </c>
      <c r="G25" s="43"/>
      <c r="H25" s="43"/>
      <c r="I25" s="43"/>
      <c r="J25" s="56"/>
      <c r="M25" s="81" t="s">
        <v>36</v>
      </c>
      <c r="N25" s="81">
        <f>(2680.91-2665.74)/2665.65</f>
        <v>5.6909196631215924E-3</v>
      </c>
      <c r="O25" s="81"/>
      <c r="S25" s="55">
        <f>(R23+Q23+P26-K23)/K23</f>
        <v>-8.2613202405832559E-2</v>
      </c>
    </row>
    <row r="26" spans="1:19">
      <c r="P26" s="106">
        <f>P23+Q23+R23</f>
        <v>95427.939999999988</v>
      </c>
      <c r="R26" s="110" t="s">
        <v>41</v>
      </c>
      <c r="S26" s="111">
        <v>0.87</v>
      </c>
    </row>
    <row r="27" spans="1:19">
      <c r="A27" t="s">
        <v>21</v>
      </c>
      <c r="D27" s="78">
        <v>101104.3</v>
      </c>
      <c r="K27" s="80">
        <f>SUM(K23:K26)</f>
        <v>101104.3</v>
      </c>
      <c r="O27" t="s">
        <v>42</v>
      </c>
      <c r="P27" s="112">
        <f>95427.94-572.81</f>
        <v>94855.13</v>
      </c>
    </row>
    <row r="29" spans="1:19">
      <c r="A29" t="s">
        <v>22</v>
      </c>
      <c r="D29" s="112">
        <f>P26</f>
        <v>95427.939999999988</v>
      </c>
    </row>
    <row r="31" spans="1:19">
      <c r="D31" s="55"/>
    </row>
  </sheetData>
  <mergeCells count="1">
    <mergeCell ref="B2:I2"/>
  </mergeCells>
  <pageMargins left="0.25" right="0.25" top="0.75" bottom="0.75" header="0.3" footer="0.3"/>
  <pageSetup scale="62" fitToHeight="0" orientation="landscape" horizontalDpi="1800" verticalDpi="1800" r:id="rId1"/>
</worksheet>
</file>

<file path=xl/worksheets/sheet2.xml><?xml version="1.0" encoding="utf-8"?>
<worksheet xmlns="http://schemas.openxmlformats.org/spreadsheetml/2006/main" xmlns:r="http://schemas.openxmlformats.org/officeDocument/2006/relationships">
  <dimension ref="A1:L9"/>
  <sheetViews>
    <sheetView workbookViewId="0">
      <selection sqref="A1:L9"/>
    </sheetView>
  </sheetViews>
  <sheetFormatPr defaultColWidth="8.85546875" defaultRowHeight="15"/>
  <sheetData>
    <row r="1" spans="1:12">
      <c r="A1" s="124"/>
      <c r="B1" s="124"/>
      <c r="C1" s="124"/>
      <c r="D1" s="124"/>
      <c r="E1" s="124"/>
      <c r="F1" s="124"/>
      <c r="G1" s="124"/>
      <c r="H1" s="124"/>
      <c r="I1" s="124"/>
      <c r="J1" s="124"/>
      <c r="K1" s="124"/>
      <c r="L1" s="124"/>
    </row>
    <row r="2" spans="1:12">
      <c r="A2" s="124"/>
      <c r="B2" s="124"/>
      <c r="C2" s="124"/>
      <c r="D2" s="124"/>
      <c r="E2" s="124"/>
      <c r="F2" s="124"/>
      <c r="G2" s="124"/>
      <c r="H2" s="124"/>
      <c r="I2" s="124"/>
      <c r="J2" s="124"/>
      <c r="K2" s="124"/>
      <c r="L2" s="124"/>
    </row>
    <row r="3" spans="1:12">
      <c r="A3" s="124"/>
      <c r="B3" s="124"/>
      <c r="C3" s="124"/>
      <c r="D3" s="124"/>
      <c r="E3" s="124"/>
      <c r="F3" s="124"/>
      <c r="G3" s="124"/>
      <c r="H3" s="124"/>
      <c r="I3" s="124"/>
      <c r="J3" s="124"/>
      <c r="K3" s="124"/>
      <c r="L3" s="124"/>
    </row>
    <row r="4" spans="1:12">
      <c r="A4" s="124"/>
      <c r="B4" s="124"/>
      <c r="C4" s="124"/>
      <c r="D4" s="124"/>
      <c r="E4" s="124"/>
      <c r="F4" s="124"/>
      <c r="G4" s="124"/>
      <c r="H4" s="124"/>
      <c r="I4" s="124"/>
      <c r="J4" s="124"/>
      <c r="K4" s="124"/>
      <c r="L4" s="124"/>
    </row>
    <row r="5" spans="1:12">
      <c r="A5" s="124"/>
      <c r="B5" s="124"/>
      <c r="C5" s="124"/>
      <c r="D5" s="124"/>
      <c r="E5" s="124"/>
      <c r="F5" s="124"/>
      <c r="G5" s="124"/>
      <c r="H5" s="124"/>
      <c r="I5" s="124"/>
      <c r="J5" s="124"/>
      <c r="K5" s="124"/>
      <c r="L5" s="124"/>
    </row>
    <row r="6" spans="1:12">
      <c r="A6" s="124"/>
      <c r="B6" s="124"/>
      <c r="C6" s="124"/>
      <c r="D6" s="124"/>
      <c r="E6" s="124"/>
      <c r="F6" s="124"/>
      <c r="G6" s="124"/>
      <c r="H6" s="124"/>
      <c r="I6" s="124"/>
      <c r="J6" s="124"/>
      <c r="K6" s="124"/>
      <c r="L6" s="124"/>
    </row>
    <row r="7" spans="1:12">
      <c r="A7" s="124"/>
      <c r="B7" s="124"/>
      <c r="C7" s="124"/>
      <c r="D7" s="124"/>
      <c r="E7" s="124"/>
      <c r="F7" s="124"/>
      <c r="G7" s="124"/>
      <c r="H7" s="124"/>
      <c r="I7" s="124"/>
      <c r="J7" s="124"/>
      <c r="K7" s="124"/>
      <c r="L7" s="124"/>
    </row>
    <row r="8" spans="1:12">
      <c r="A8" s="124"/>
      <c r="B8" s="124"/>
      <c r="C8" s="124"/>
      <c r="D8" s="124"/>
      <c r="E8" s="124"/>
      <c r="F8" s="124"/>
      <c r="G8" s="124"/>
      <c r="H8" s="124"/>
      <c r="I8" s="124"/>
      <c r="J8" s="124"/>
      <c r="K8" s="124"/>
      <c r="L8" s="124"/>
    </row>
    <row r="9" spans="1:12">
      <c r="A9" s="124"/>
      <c r="B9" s="124"/>
      <c r="C9" s="124"/>
      <c r="D9" s="124"/>
      <c r="E9" s="124"/>
      <c r="F9" s="124"/>
      <c r="G9" s="124"/>
      <c r="H9" s="124"/>
      <c r="I9" s="124"/>
      <c r="J9" s="124"/>
      <c r="K9" s="124"/>
      <c r="L9" s="124"/>
    </row>
  </sheetData>
  <mergeCells count="1">
    <mergeCell ref="A1:L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O13"/>
  <sheetViews>
    <sheetView workbookViewId="0">
      <selection sqref="A1:O13"/>
    </sheetView>
  </sheetViews>
  <sheetFormatPr defaultColWidth="8.85546875" defaultRowHeight="15"/>
  <sheetData>
    <row r="1" spans="1:15">
      <c r="A1" s="124"/>
      <c r="B1" s="124"/>
      <c r="C1" s="124"/>
      <c r="D1" s="124"/>
      <c r="E1" s="124"/>
      <c r="F1" s="124"/>
      <c r="G1" s="124"/>
      <c r="H1" s="124"/>
      <c r="I1" s="124"/>
      <c r="J1" s="124"/>
      <c r="K1" s="124"/>
      <c r="L1" s="124"/>
      <c r="M1" s="124"/>
      <c r="N1" s="124"/>
      <c r="O1" s="124"/>
    </row>
    <row r="2" spans="1:15">
      <c r="A2" s="124"/>
      <c r="B2" s="124"/>
      <c r="C2" s="124"/>
      <c r="D2" s="124"/>
      <c r="E2" s="124"/>
      <c r="F2" s="124"/>
      <c r="G2" s="124"/>
      <c r="H2" s="124"/>
      <c r="I2" s="124"/>
      <c r="J2" s="124"/>
      <c r="K2" s="124"/>
      <c r="L2" s="124"/>
      <c r="M2" s="124"/>
      <c r="N2" s="124"/>
      <c r="O2" s="124"/>
    </row>
    <row r="3" spans="1:15">
      <c r="A3" s="124"/>
      <c r="B3" s="124"/>
      <c r="C3" s="124"/>
      <c r="D3" s="124"/>
      <c r="E3" s="124"/>
      <c r="F3" s="124"/>
      <c r="G3" s="124"/>
      <c r="H3" s="124"/>
      <c r="I3" s="124"/>
      <c r="J3" s="124"/>
      <c r="K3" s="124"/>
      <c r="L3" s="124"/>
      <c r="M3" s="124"/>
      <c r="N3" s="124"/>
      <c r="O3" s="124"/>
    </row>
    <row r="4" spans="1:15">
      <c r="A4" s="124"/>
      <c r="B4" s="124"/>
      <c r="C4" s="124"/>
      <c r="D4" s="124"/>
      <c r="E4" s="124"/>
      <c r="F4" s="124"/>
      <c r="G4" s="124"/>
      <c r="H4" s="124"/>
      <c r="I4" s="124"/>
      <c r="J4" s="124"/>
      <c r="K4" s="124"/>
      <c r="L4" s="124"/>
      <c r="M4" s="124"/>
      <c r="N4" s="124"/>
      <c r="O4" s="124"/>
    </row>
    <row r="5" spans="1:15">
      <c r="A5" s="124"/>
      <c r="B5" s="124"/>
      <c r="C5" s="124"/>
      <c r="D5" s="124"/>
      <c r="E5" s="124"/>
      <c r="F5" s="124"/>
      <c r="G5" s="124"/>
      <c r="H5" s="124"/>
      <c r="I5" s="124"/>
      <c r="J5" s="124"/>
      <c r="K5" s="124"/>
      <c r="L5" s="124"/>
      <c r="M5" s="124"/>
      <c r="N5" s="124"/>
      <c r="O5" s="124"/>
    </row>
    <row r="6" spans="1:15">
      <c r="A6" s="124"/>
      <c r="B6" s="124"/>
      <c r="C6" s="124"/>
      <c r="D6" s="124"/>
      <c r="E6" s="124"/>
      <c r="F6" s="124"/>
      <c r="G6" s="124"/>
      <c r="H6" s="124"/>
      <c r="I6" s="124"/>
      <c r="J6" s="124"/>
      <c r="K6" s="124"/>
      <c r="L6" s="124"/>
      <c r="M6" s="124"/>
      <c r="N6" s="124"/>
      <c r="O6" s="124"/>
    </row>
    <row r="7" spans="1:15">
      <c r="A7" s="124"/>
      <c r="B7" s="124"/>
      <c r="C7" s="124"/>
      <c r="D7" s="124"/>
      <c r="E7" s="124"/>
      <c r="F7" s="124"/>
      <c r="G7" s="124"/>
      <c r="H7" s="124"/>
      <c r="I7" s="124"/>
      <c r="J7" s="124"/>
      <c r="K7" s="124"/>
      <c r="L7" s="124"/>
      <c r="M7" s="124"/>
      <c r="N7" s="124"/>
      <c r="O7" s="124"/>
    </row>
    <row r="8" spans="1:15">
      <c r="A8" s="124"/>
      <c r="B8" s="124"/>
      <c r="C8" s="124"/>
      <c r="D8" s="124"/>
      <c r="E8" s="124"/>
      <c r="F8" s="124"/>
      <c r="G8" s="124"/>
      <c r="H8" s="124"/>
      <c r="I8" s="124"/>
      <c r="J8" s="124"/>
      <c r="K8" s="124"/>
      <c r="L8" s="124"/>
      <c r="M8" s="124"/>
      <c r="N8" s="124"/>
      <c r="O8" s="124"/>
    </row>
    <row r="9" spans="1:15">
      <c r="A9" s="124"/>
      <c r="B9" s="124"/>
      <c r="C9" s="124"/>
      <c r="D9" s="124"/>
      <c r="E9" s="124"/>
      <c r="F9" s="124"/>
      <c r="G9" s="124"/>
      <c r="H9" s="124"/>
      <c r="I9" s="124"/>
      <c r="J9" s="124"/>
      <c r="K9" s="124"/>
      <c r="L9" s="124"/>
      <c r="M9" s="124"/>
      <c r="N9" s="124"/>
      <c r="O9" s="124"/>
    </row>
    <row r="10" spans="1:15">
      <c r="A10" s="124"/>
      <c r="B10" s="124"/>
      <c r="C10" s="124"/>
      <c r="D10" s="124"/>
      <c r="E10" s="124"/>
      <c r="F10" s="124"/>
      <c r="G10" s="124"/>
      <c r="H10" s="124"/>
      <c r="I10" s="124"/>
      <c r="J10" s="124"/>
      <c r="K10" s="124"/>
      <c r="L10" s="124"/>
      <c r="M10" s="124"/>
      <c r="N10" s="124"/>
      <c r="O10" s="124"/>
    </row>
    <row r="11" spans="1:15">
      <c r="A11" s="124"/>
      <c r="B11" s="124"/>
      <c r="C11" s="124"/>
      <c r="D11" s="124"/>
      <c r="E11" s="124"/>
      <c r="F11" s="124"/>
      <c r="G11" s="124"/>
      <c r="H11" s="124"/>
      <c r="I11" s="124"/>
      <c r="J11" s="124"/>
      <c r="K11" s="124"/>
      <c r="L11" s="124"/>
      <c r="M11" s="124"/>
      <c r="N11" s="124"/>
      <c r="O11" s="124"/>
    </row>
    <row r="12" spans="1:15">
      <c r="A12" s="124"/>
      <c r="B12" s="124"/>
      <c r="C12" s="124"/>
      <c r="D12" s="124"/>
      <c r="E12" s="124"/>
      <c r="F12" s="124"/>
      <c r="G12" s="124"/>
      <c r="H12" s="124"/>
      <c r="I12" s="124"/>
      <c r="J12" s="124"/>
      <c r="K12" s="124"/>
      <c r="L12" s="124"/>
      <c r="M12" s="124"/>
      <c r="N12" s="124"/>
      <c r="O12" s="124"/>
    </row>
    <row r="13" spans="1:15">
      <c r="A13" s="124"/>
      <c r="B13" s="124"/>
      <c r="C13" s="124"/>
      <c r="D13" s="124"/>
      <c r="E13" s="124"/>
      <c r="F13" s="124"/>
      <c r="G13" s="124"/>
      <c r="H13" s="124"/>
      <c r="I13" s="124"/>
      <c r="J13" s="124"/>
      <c r="K13" s="124"/>
      <c r="L13" s="124"/>
      <c r="M13" s="124"/>
      <c r="N13" s="124"/>
      <c r="O13" s="124"/>
    </row>
  </sheetData>
  <mergeCells count="1">
    <mergeCell ref="A1:O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M27"/>
  <sheetViews>
    <sheetView workbookViewId="0">
      <selection activeCell="J34" sqref="J34"/>
    </sheetView>
  </sheetViews>
  <sheetFormatPr defaultColWidth="11.42578125" defaultRowHeight="15"/>
  <sheetData>
    <row r="1" spans="1:13">
      <c r="A1" s="124"/>
      <c r="B1" s="124"/>
      <c r="C1" s="124"/>
      <c r="D1" s="124"/>
      <c r="E1" s="124"/>
      <c r="F1" s="124"/>
      <c r="G1" s="124"/>
      <c r="H1" s="124"/>
      <c r="I1" s="124"/>
      <c r="J1" s="124"/>
      <c r="K1" s="124"/>
      <c r="L1" s="124"/>
      <c r="M1" s="124"/>
    </row>
    <row r="2" spans="1:13">
      <c r="A2" s="124"/>
      <c r="B2" s="124"/>
      <c r="C2" s="124"/>
      <c r="D2" s="124"/>
      <c r="E2" s="124"/>
      <c r="F2" s="124"/>
      <c r="G2" s="124"/>
      <c r="H2" s="124"/>
      <c r="I2" s="124"/>
      <c r="J2" s="124"/>
      <c r="K2" s="124"/>
      <c r="L2" s="124"/>
      <c r="M2" s="124"/>
    </row>
    <row r="3" spans="1:13">
      <c r="A3" s="124"/>
      <c r="B3" s="124"/>
      <c r="C3" s="124"/>
      <c r="D3" s="124"/>
      <c r="E3" s="124"/>
      <c r="F3" s="124"/>
      <c r="G3" s="124"/>
      <c r="H3" s="124"/>
      <c r="I3" s="124"/>
      <c r="J3" s="124"/>
      <c r="K3" s="124"/>
      <c r="L3" s="124"/>
      <c r="M3" s="124"/>
    </row>
    <row r="4" spans="1:13">
      <c r="A4" s="124"/>
      <c r="B4" s="124"/>
      <c r="C4" s="124"/>
      <c r="D4" s="124"/>
      <c r="E4" s="124"/>
      <c r="F4" s="124"/>
      <c r="G4" s="124"/>
      <c r="H4" s="124"/>
      <c r="I4" s="124"/>
      <c r="J4" s="124"/>
      <c r="K4" s="124"/>
      <c r="L4" s="124"/>
      <c r="M4" s="124"/>
    </row>
    <row r="5" spans="1:13">
      <c r="A5" s="124"/>
      <c r="B5" s="124"/>
      <c r="C5" s="124"/>
      <c r="D5" s="124"/>
      <c r="E5" s="124"/>
      <c r="F5" s="124"/>
      <c r="G5" s="124"/>
      <c r="H5" s="124"/>
      <c r="I5" s="124"/>
      <c r="J5" s="124"/>
      <c r="K5" s="124"/>
      <c r="L5" s="124"/>
      <c r="M5" s="124"/>
    </row>
    <row r="6" spans="1:13">
      <c r="A6" s="124"/>
      <c r="B6" s="124"/>
      <c r="C6" s="124"/>
      <c r="D6" s="124"/>
      <c r="E6" s="124"/>
      <c r="F6" s="124"/>
      <c r="G6" s="124"/>
      <c r="H6" s="124"/>
      <c r="I6" s="124"/>
      <c r="J6" s="124"/>
      <c r="K6" s="124"/>
      <c r="L6" s="124"/>
      <c r="M6" s="124"/>
    </row>
    <row r="7" spans="1:13">
      <c r="A7" s="124"/>
      <c r="B7" s="124"/>
      <c r="C7" s="124"/>
      <c r="D7" s="124"/>
      <c r="E7" s="124"/>
      <c r="F7" s="124"/>
      <c r="G7" s="124"/>
      <c r="H7" s="124"/>
      <c r="I7" s="124"/>
      <c r="J7" s="124"/>
      <c r="K7" s="124"/>
      <c r="L7" s="124"/>
      <c r="M7" s="124"/>
    </row>
    <row r="8" spans="1:13">
      <c r="A8" s="124"/>
      <c r="B8" s="124"/>
      <c r="C8" s="124"/>
      <c r="D8" s="124"/>
      <c r="E8" s="124"/>
      <c r="F8" s="124"/>
      <c r="G8" s="124"/>
      <c r="H8" s="124"/>
      <c r="I8" s="124"/>
      <c r="J8" s="124"/>
      <c r="K8" s="124"/>
      <c r="L8" s="124"/>
      <c r="M8" s="124"/>
    </row>
    <row r="9" spans="1:13">
      <c r="A9" s="124"/>
      <c r="B9" s="124"/>
      <c r="C9" s="124"/>
      <c r="D9" s="124"/>
      <c r="E9" s="124"/>
      <c r="F9" s="124"/>
      <c r="G9" s="124"/>
      <c r="H9" s="124"/>
      <c r="I9" s="124"/>
      <c r="J9" s="124"/>
      <c r="K9" s="124"/>
      <c r="L9" s="124"/>
      <c r="M9" s="124"/>
    </row>
    <row r="10" spans="1:13">
      <c r="A10" s="124"/>
      <c r="B10" s="124"/>
      <c r="C10" s="124"/>
      <c r="D10" s="124"/>
      <c r="E10" s="124"/>
      <c r="F10" s="124"/>
      <c r="G10" s="124"/>
      <c r="H10" s="124"/>
      <c r="I10" s="124"/>
      <c r="J10" s="124"/>
      <c r="K10" s="124"/>
      <c r="L10" s="124"/>
      <c r="M10" s="124"/>
    </row>
    <row r="11" spans="1:13">
      <c r="A11" s="124"/>
      <c r="B11" s="124"/>
      <c r="C11" s="124"/>
      <c r="D11" s="124"/>
      <c r="E11" s="124"/>
      <c r="F11" s="124"/>
      <c r="G11" s="124"/>
      <c r="H11" s="124"/>
      <c r="I11" s="124"/>
      <c r="J11" s="124"/>
      <c r="K11" s="124"/>
      <c r="L11" s="124"/>
      <c r="M11" s="124"/>
    </row>
    <row r="12" spans="1:13">
      <c r="A12" s="124"/>
      <c r="B12" s="124"/>
      <c r="C12" s="124"/>
      <c r="D12" s="124"/>
      <c r="E12" s="124"/>
      <c r="F12" s="124"/>
      <c r="G12" s="124"/>
      <c r="H12" s="124"/>
      <c r="I12" s="124"/>
      <c r="J12" s="124"/>
      <c r="K12" s="124"/>
      <c r="L12" s="124"/>
      <c r="M12" s="124"/>
    </row>
    <row r="13" spans="1:13">
      <c r="A13" s="124"/>
      <c r="B13" s="124"/>
      <c r="C13" s="124"/>
      <c r="D13" s="124"/>
      <c r="E13" s="124"/>
      <c r="F13" s="124"/>
      <c r="G13" s="124"/>
      <c r="H13" s="124"/>
      <c r="I13" s="124"/>
      <c r="J13" s="124"/>
      <c r="K13" s="124"/>
      <c r="L13" s="124"/>
      <c r="M13" s="124"/>
    </row>
    <row r="14" spans="1:13">
      <c r="A14" s="124"/>
      <c r="B14" s="124"/>
      <c r="C14" s="124"/>
      <c r="D14" s="124"/>
      <c r="E14" s="124"/>
      <c r="F14" s="124"/>
      <c r="G14" s="124"/>
      <c r="H14" s="124"/>
      <c r="I14" s="124"/>
      <c r="J14" s="124"/>
      <c r="K14" s="124"/>
      <c r="L14" s="124"/>
      <c r="M14" s="124"/>
    </row>
    <row r="15" spans="1:13">
      <c r="A15" s="124"/>
      <c r="B15" s="124"/>
      <c r="C15" s="124"/>
      <c r="D15" s="124"/>
      <c r="E15" s="124"/>
      <c r="F15" s="124"/>
      <c r="G15" s="124"/>
      <c r="H15" s="124"/>
      <c r="I15" s="124"/>
      <c r="J15" s="124"/>
      <c r="K15" s="124"/>
      <c r="L15" s="124"/>
      <c r="M15" s="124"/>
    </row>
    <row r="16" spans="1:13">
      <c r="A16" s="124"/>
      <c r="B16" s="124"/>
      <c r="C16" s="124"/>
      <c r="D16" s="124"/>
      <c r="E16" s="124"/>
      <c r="F16" s="124"/>
      <c r="G16" s="124"/>
      <c r="H16" s="124"/>
      <c r="I16" s="124"/>
      <c r="J16" s="124"/>
      <c r="K16" s="124"/>
      <c r="L16" s="124"/>
      <c r="M16" s="124"/>
    </row>
    <row r="17" spans="1:13">
      <c r="A17" s="124"/>
      <c r="B17" s="124"/>
      <c r="C17" s="124"/>
      <c r="D17" s="124"/>
      <c r="E17" s="124"/>
      <c r="F17" s="124"/>
      <c r="G17" s="124"/>
      <c r="H17" s="124"/>
      <c r="I17" s="124"/>
      <c r="J17" s="124"/>
      <c r="K17" s="124"/>
      <c r="L17" s="124"/>
      <c r="M17" s="124"/>
    </row>
    <row r="18" spans="1:13">
      <c r="A18" s="124"/>
      <c r="B18" s="124"/>
      <c r="C18" s="124"/>
      <c r="D18" s="124"/>
      <c r="E18" s="124"/>
      <c r="F18" s="124"/>
      <c r="G18" s="124"/>
      <c r="H18" s="124"/>
      <c r="I18" s="124"/>
      <c r="J18" s="124"/>
      <c r="K18" s="124"/>
      <c r="L18" s="124"/>
      <c r="M18" s="124"/>
    </row>
    <row r="19" spans="1:13">
      <c r="A19" s="124"/>
      <c r="B19" s="124"/>
      <c r="C19" s="124"/>
      <c r="D19" s="124"/>
      <c r="E19" s="124"/>
      <c r="F19" s="124"/>
      <c r="G19" s="124"/>
      <c r="H19" s="124"/>
      <c r="I19" s="124"/>
      <c r="J19" s="124"/>
      <c r="K19" s="124"/>
      <c r="L19" s="124"/>
      <c r="M19" s="124"/>
    </row>
    <row r="20" spans="1:13">
      <c r="A20" s="124"/>
      <c r="B20" s="124"/>
      <c r="C20" s="124"/>
      <c r="D20" s="124"/>
      <c r="E20" s="124"/>
      <c r="F20" s="124"/>
      <c r="G20" s="124"/>
      <c r="H20" s="124"/>
      <c r="I20" s="124"/>
      <c r="J20" s="124"/>
      <c r="K20" s="124"/>
      <c r="L20" s="124"/>
      <c r="M20" s="124"/>
    </row>
    <row r="21" spans="1:13">
      <c r="A21" s="124"/>
      <c r="B21" s="124"/>
      <c r="C21" s="124"/>
      <c r="D21" s="124"/>
      <c r="E21" s="124"/>
      <c r="F21" s="124"/>
      <c r="G21" s="124"/>
      <c r="H21" s="124"/>
      <c r="I21" s="124"/>
      <c r="J21" s="124"/>
      <c r="K21" s="124"/>
      <c r="L21" s="124"/>
      <c r="M21" s="124"/>
    </row>
    <row r="22" spans="1:13">
      <c r="A22" s="124"/>
      <c r="B22" s="124"/>
      <c r="C22" s="124"/>
      <c r="D22" s="124"/>
      <c r="E22" s="124"/>
      <c r="F22" s="124"/>
      <c r="G22" s="124"/>
      <c r="H22" s="124"/>
      <c r="I22" s="124"/>
      <c r="J22" s="124"/>
      <c r="K22" s="124"/>
      <c r="L22" s="124"/>
      <c r="M22" s="124"/>
    </row>
    <row r="23" spans="1:13">
      <c r="A23" s="124"/>
      <c r="B23" s="124"/>
      <c r="C23" s="124"/>
      <c r="D23" s="124"/>
      <c r="E23" s="124"/>
      <c r="F23" s="124"/>
      <c r="G23" s="124"/>
      <c r="H23" s="124"/>
      <c r="I23" s="124"/>
      <c r="J23" s="124"/>
      <c r="K23" s="124"/>
      <c r="L23" s="124"/>
      <c r="M23" s="124"/>
    </row>
    <row r="24" spans="1:13">
      <c r="A24" s="124"/>
      <c r="B24" s="124"/>
      <c r="C24" s="124"/>
      <c r="D24" s="124"/>
      <c r="E24" s="124"/>
      <c r="F24" s="124"/>
      <c r="G24" s="124"/>
      <c r="H24" s="124"/>
      <c r="I24" s="124"/>
      <c r="J24" s="124"/>
      <c r="K24" s="124"/>
      <c r="L24" s="124"/>
      <c r="M24" s="124"/>
    </row>
    <row r="25" spans="1:13">
      <c r="A25" s="124"/>
      <c r="B25" s="124"/>
      <c r="C25" s="124"/>
      <c r="D25" s="124"/>
      <c r="E25" s="124"/>
      <c r="F25" s="124"/>
      <c r="G25" s="124"/>
      <c r="H25" s="124"/>
      <c r="I25" s="124"/>
      <c r="J25" s="124"/>
      <c r="K25" s="124"/>
      <c r="L25" s="124"/>
      <c r="M25" s="124"/>
    </row>
    <row r="26" spans="1:13">
      <c r="A26" s="124"/>
      <c r="B26" s="124"/>
      <c r="C26" s="124"/>
      <c r="D26" s="124"/>
      <c r="E26" s="124"/>
      <c r="F26" s="124"/>
      <c r="G26" s="124"/>
      <c r="H26" s="124"/>
      <c r="I26" s="124"/>
      <c r="J26" s="124"/>
      <c r="K26" s="124"/>
      <c r="L26" s="124"/>
      <c r="M26" s="124"/>
    </row>
    <row r="27" spans="1:13">
      <c r="A27" s="124"/>
      <c r="B27" s="124"/>
      <c r="C27" s="124"/>
      <c r="D27" s="124"/>
      <c r="E27" s="124"/>
      <c r="F27" s="124"/>
      <c r="G27" s="124"/>
      <c r="H27" s="124"/>
      <c r="I27" s="124"/>
      <c r="J27" s="124"/>
      <c r="K27" s="124"/>
      <c r="L27" s="124"/>
      <c r="M27" s="124"/>
    </row>
  </sheetData>
  <mergeCells count="1">
    <mergeCell ref="A1:M2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Y48"/>
  <sheetViews>
    <sheetView tabSelected="1" workbookViewId="0"/>
  </sheetViews>
  <sheetFormatPr defaultRowHeight="15"/>
  <cols>
    <col min="1" max="1" width="35" customWidth="1"/>
    <col min="2" max="3" width="16.28515625" customWidth="1"/>
    <col min="4" max="4" width="17.7109375" customWidth="1"/>
    <col min="5" max="5" width="16.140625" customWidth="1"/>
    <col min="6" max="6" width="12.140625" customWidth="1"/>
    <col min="7" max="7" width="15.5703125" customWidth="1"/>
    <col min="8" max="8" width="14.140625" customWidth="1"/>
    <col min="9" max="9" width="14.42578125" customWidth="1"/>
    <col min="10" max="10" width="17" customWidth="1"/>
    <col min="11" max="11" width="17.28515625" customWidth="1"/>
    <col min="12" max="12" width="14.85546875" customWidth="1"/>
    <col min="13" max="13" width="14" customWidth="1"/>
    <col min="14" max="14" width="12.85546875" customWidth="1"/>
    <col min="15" max="15" width="15.42578125" customWidth="1"/>
    <col min="16" max="16" width="11.5703125" customWidth="1"/>
    <col min="17" max="17" width="10.28515625" customWidth="1"/>
    <col min="18" max="18" width="11.140625" customWidth="1"/>
    <col min="19" max="19" width="10.28515625" customWidth="1"/>
  </cols>
  <sheetData>
    <row r="1" spans="1:25" ht="15.75">
      <c r="A1" s="113" t="s">
        <v>43</v>
      </c>
      <c r="B1" s="114"/>
      <c r="C1" s="114"/>
      <c r="D1" s="114"/>
      <c r="E1" s="114"/>
      <c r="F1" s="114"/>
      <c r="G1" s="114"/>
      <c r="H1" s="114"/>
      <c r="I1" s="114"/>
      <c r="J1" s="114"/>
      <c r="K1" s="114"/>
      <c r="L1" s="114"/>
      <c r="M1" s="114"/>
      <c r="N1" s="114"/>
      <c r="O1" s="114"/>
      <c r="P1" s="114"/>
      <c r="Q1" s="114"/>
      <c r="R1" s="114"/>
      <c r="S1" s="114"/>
      <c r="T1" s="114"/>
      <c r="U1" s="114"/>
      <c r="V1" s="114"/>
      <c r="W1" s="114"/>
      <c r="X1" s="114"/>
      <c r="Y1" s="114"/>
    </row>
    <row r="2" spans="1:25" ht="15.75">
      <c r="A2" s="114"/>
      <c r="B2" s="114"/>
      <c r="C2" s="114"/>
      <c r="D2" s="114"/>
      <c r="E2" s="114"/>
      <c r="F2" s="114"/>
      <c r="G2" s="114"/>
      <c r="H2" s="114"/>
      <c r="I2" s="114"/>
      <c r="J2" s="114"/>
      <c r="K2" s="114"/>
      <c r="L2" s="114"/>
      <c r="M2" s="114"/>
      <c r="N2" s="114"/>
      <c r="O2" s="114"/>
      <c r="P2" s="114"/>
      <c r="Q2" s="114"/>
      <c r="R2" s="114"/>
      <c r="S2" s="114"/>
      <c r="T2" s="114"/>
      <c r="U2" s="114"/>
      <c r="V2" s="114"/>
      <c r="W2" s="114"/>
      <c r="X2" s="114"/>
      <c r="Y2" s="114"/>
    </row>
    <row r="3" spans="1:25" ht="15.75">
      <c r="A3" s="114" t="s">
        <v>48</v>
      </c>
      <c r="B3" s="114"/>
      <c r="C3" s="114"/>
      <c r="D3" s="114"/>
      <c r="E3" s="114"/>
      <c r="F3" s="114"/>
      <c r="G3" s="114"/>
      <c r="H3" s="114"/>
      <c r="I3" s="114"/>
      <c r="J3" s="114"/>
      <c r="K3" s="114"/>
      <c r="L3" s="114"/>
      <c r="M3" s="114"/>
      <c r="N3" s="114"/>
      <c r="O3" s="114"/>
      <c r="P3" s="114"/>
      <c r="Q3" s="114"/>
      <c r="R3" s="114"/>
      <c r="S3" s="114"/>
      <c r="T3" s="114"/>
      <c r="U3" s="114"/>
      <c r="V3" s="114"/>
      <c r="W3" s="114"/>
      <c r="X3" s="114"/>
      <c r="Y3" s="114"/>
    </row>
    <row r="4" spans="1:25" ht="15.75">
      <c r="A4" s="114" t="s">
        <v>50</v>
      </c>
      <c r="B4" s="114"/>
      <c r="C4" s="114"/>
      <c r="D4" s="114"/>
      <c r="E4" s="114"/>
      <c r="F4" s="114"/>
      <c r="G4" s="114"/>
      <c r="H4" s="114"/>
      <c r="I4" s="114"/>
      <c r="J4" s="114"/>
      <c r="K4" s="114"/>
      <c r="L4" s="114"/>
      <c r="M4" s="114"/>
      <c r="N4" s="114"/>
      <c r="O4" s="114"/>
      <c r="P4" s="114"/>
      <c r="Q4" s="114"/>
      <c r="R4" s="114"/>
      <c r="S4" s="114"/>
      <c r="T4" s="114"/>
      <c r="U4" s="114"/>
      <c r="V4" s="114"/>
      <c r="W4" s="114"/>
      <c r="X4" s="114"/>
      <c r="Y4" s="114"/>
    </row>
    <row r="5" spans="1:25" ht="15.75">
      <c r="A5" s="114" t="s">
        <v>51</v>
      </c>
      <c r="B5" s="114"/>
      <c r="C5" s="114"/>
      <c r="D5" s="114"/>
      <c r="E5" s="114"/>
      <c r="F5" s="114"/>
      <c r="G5" s="114"/>
      <c r="H5" s="114"/>
      <c r="I5" s="114"/>
      <c r="J5" s="114"/>
      <c r="K5" s="114"/>
      <c r="L5" s="114"/>
      <c r="M5" s="114"/>
      <c r="N5" s="114"/>
      <c r="O5" s="114"/>
      <c r="P5" s="114"/>
      <c r="Q5" s="114"/>
      <c r="R5" s="114"/>
      <c r="S5" s="114"/>
      <c r="T5" s="114"/>
      <c r="U5" s="114"/>
      <c r="V5" s="114"/>
      <c r="W5" s="114"/>
      <c r="X5" s="114"/>
      <c r="Y5" s="114"/>
    </row>
    <row r="6" spans="1:25" ht="15.75">
      <c r="A6" s="114" t="s">
        <v>49</v>
      </c>
      <c r="B6" s="114"/>
      <c r="C6" s="114"/>
      <c r="D6" s="114"/>
      <c r="E6" s="114"/>
      <c r="F6" s="114"/>
      <c r="G6" s="114"/>
      <c r="H6" s="114"/>
      <c r="I6" s="114"/>
      <c r="J6" s="114"/>
      <c r="K6" s="114"/>
      <c r="L6" s="114"/>
      <c r="M6" s="114"/>
      <c r="N6" s="114"/>
      <c r="O6" s="114"/>
      <c r="P6" s="114"/>
      <c r="Q6" s="114"/>
      <c r="R6" s="114"/>
      <c r="S6" s="114"/>
      <c r="T6" s="114"/>
      <c r="U6" s="114"/>
      <c r="V6" s="114"/>
      <c r="W6" s="114"/>
      <c r="X6" s="114"/>
      <c r="Y6" s="114"/>
    </row>
    <row r="7" spans="1:25" ht="15.75">
      <c r="A7" s="114" t="s">
        <v>44</v>
      </c>
      <c r="B7" s="114"/>
      <c r="C7" s="114"/>
      <c r="D7" s="114"/>
      <c r="E7" s="114"/>
      <c r="F7" s="114"/>
      <c r="G7" s="114"/>
      <c r="H7" s="114"/>
      <c r="I7" s="114"/>
      <c r="J7" s="114"/>
      <c r="K7" s="114"/>
      <c r="L7" s="114"/>
      <c r="M7" s="114"/>
      <c r="N7" s="114"/>
      <c r="O7" s="114"/>
      <c r="P7" s="114"/>
      <c r="Q7" s="114"/>
      <c r="R7" s="114"/>
      <c r="S7" s="114"/>
      <c r="T7" s="114"/>
      <c r="U7" s="114"/>
      <c r="V7" s="114"/>
      <c r="W7" s="114"/>
      <c r="X7" s="114"/>
      <c r="Y7" s="114"/>
    </row>
    <row r="8" spans="1:25" ht="15.75">
      <c r="A8" s="114"/>
      <c r="B8" s="114"/>
      <c r="C8" s="114"/>
      <c r="D8" s="114"/>
      <c r="E8" s="114"/>
      <c r="F8" s="114"/>
      <c r="G8" s="114"/>
      <c r="H8" s="114"/>
      <c r="I8" s="114"/>
      <c r="J8" s="114"/>
      <c r="K8" s="114"/>
      <c r="L8" s="114"/>
      <c r="M8" s="114"/>
      <c r="N8" s="114"/>
      <c r="O8" s="114"/>
      <c r="P8" s="114"/>
      <c r="Q8" s="114"/>
      <c r="R8" s="114"/>
      <c r="S8" s="114"/>
      <c r="T8" s="114"/>
      <c r="U8" s="114"/>
      <c r="V8" s="114"/>
      <c r="W8" s="114"/>
      <c r="X8" s="114"/>
      <c r="Y8" s="114"/>
    </row>
    <row r="9" spans="1:25" ht="15.75">
      <c r="A9" s="115"/>
      <c r="B9" s="114"/>
      <c r="C9" s="114"/>
      <c r="D9" s="114"/>
      <c r="E9" s="114"/>
      <c r="F9" s="114"/>
      <c r="G9" s="114"/>
      <c r="H9" s="114"/>
      <c r="I9" s="114"/>
      <c r="J9" s="114"/>
      <c r="K9" s="114"/>
      <c r="L9" s="114"/>
      <c r="M9" s="114"/>
      <c r="N9" s="114"/>
      <c r="O9" s="114"/>
      <c r="P9" s="114"/>
      <c r="Q9" s="114"/>
      <c r="R9" s="114"/>
      <c r="S9" s="114"/>
      <c r="T9" s="114"/>
      <c r="U9" s="114"/>
      <c r="V9" s="114"/>
      <c r="W9" s="114"/>
      <c r="X9" s="114"/>
      <c r="Y9" s="114"/>
    </row>
    <row r="10" spans="1:25" ht="18.75">
      <c r="A10" s="8"/>
      <c r="B10" s="8"/>
      <c r="C10" s="8"/>
      <c r="D10" s="32" t="s">
        <v>5</v>
      </c>
      <c r="E10" s="39" t="s">
        <v>12</v>
      </c>
      <c r="F10" s="40"/>
      <c r="G10" s="40"/>
      <c r="H10" s="5"/>
      <c r="I10" s="6"/>
      <c r="J10" s="8"/>
      <c r="K10" s="21" t="s">
        <v>16</v>
      </c>
      <c r="L10" s="62"/>
      <c r="M10" s="22"/>
      <c r="N10" s="23"/>
      <c r="O10" s="8"/>
      <c r="P10" s="4" t="s">
        <v>17</v>
      </c>
      <c r="Q10" s="62"/>
      <c r="R10" s="5"/>
      <c r="S10" s="6"/>
      <c r="T10" s="114"/>
      <c r="U10" s="114"/>
      <c r="V10" s="114"/>
      <c r="W10" s="114"/>
      <c r="X10" s="114"/>
      <c r="Y10" s="114"/>
    </row>
    <row r="11" spans="1:25" ht="15.75">
      <c r="A11" s="8"/>
      <c r="B11" s="8"/>
      <c r="C11" s="10" t="s">
        <v>2</v>
      </c>
      <c r="D11" s="32" t="s">
        <v>6</v>
      </c>
      <c r="E11" s="10" t="s">
        <v>2</v>
      </c>
      <c r="F11" s="16" t="s">
        <v>4</v>
      </c>
      <c r="G11" s="50" t="s">
        <v>30</v>
      </c>
      <c r="H11" s="14" t="s">
        <v>8</v>
      </c>
      <c r="I11" s="12" t="s">
        <v>10</v>
      </c>
      <c r="J11" s="10" t="s">
        <v>2</v>
      </c>
      <c r="K11" s="24" t="s">
        <v>4</v>
      </c>
      <c r="L11" s="63" t="s">
        <v>30</v>
      </c>
      <c r="M11" s="25" t="s">
        <v>8</v>
      </c>
      <c r="N11" s="26" t="s">
        <v>10</v>
      </c>
      <c r="O11" s="10" t="s">
        <v>2</v>
      </c>
      <c r="P11" s="16" t="s">
        <v>4</v>
      </c>
      <c r="Q11" s="63" t="s">
        <v>30</v>
      </c>
      <c r="R11" s="14" t="s">
        <v>8</v>
      </c>
      <c r="S11" s="12" t="s">
        <v>10</v>
      </c>
      <c r="T11" s="116"/>
      <c r="U11" s="116"/>
      <c r="V11" s="116"/>
      <c r="W11" s="116"/>
      <c r="X11" s="116"/>
      <c r="Y11" s="116"/>
    </row>
    <row r="12" spans="1:25" ht="15.75">
      <c r="A12" s="9" t="s">
        <v>0</v>
      </c>
      <c r="B12" s="11" t="s">
        <v>1</v>
      </c>
      <c r="C12" s="11" t="s">
        <v>3</v>
      </c>
      <c r="D12" s="33" t="s">
        <v>7</v>
      </c>
      <c r="E12" s="11" t="s">
        <v>3</v>
      </c>
      <c r="F12" s="29">
        <v>42779</v>
      </c>
      <c r="G12" s="49"/>
      <c r="H12" s="15" t="s">
        <v>9</v>
      </c>
      <c r="I12" s="13" t="s">
        <v>11</v>
      </c>
      <c r="J12" s="11" t="s">
        <v>3</v>
      </c>
      <c r="K12" s="30">
        <v>42816</v>
      </c>
      <c r="L12" s="64"/>
      <c r="M12" s="27" t="s">
        <v>9</v>
      </c>
      <c r="N12" s="28" t="s">
        <v>11</v>
      </c>
      <c r="O12" s="11" t="s">
        <v>3</v>
      </c>
      <c r="P12" s="29">
        <v>42851</v>
      </c>
      <c r="Q12" s="64"/>
      <c r="R12" s="15" t="s">
        <v>9</v>
      </c>
      <c r="S12" s="13" t="s">
        <v>11</v>
      </c>
      <c r="T12" s="116"/>
      <c r="U12" s="116"/>
      <c r="V12" s="116"/>
      <c r="W12" s="116"/>
      <c r="X12" s="116"/>
      <c r="Y12" s="116"/>
    </row>
    <row r="13" spans="1:25" ht="15.75">
      <c r="A13" s="38" t="s">
        <v>13</v>
      </c>
      <c r="B13" s="5"/>
      <c r="C13" s="5"/>
      <c r="D13" s="5"/>
      <c r="E13" s="5"/>
      <c r="F13" s="5"/>
      <c r="G13" s="5"/>
      <c r="H13" s="5"/>
      <c r="I13" s="5"/>
      <c r="J13" s="5"/>
      <c r="K13" s="5"/>
      <c r="L13" s="5"/>
      <c r="M13" s="5"/>
      <c r="N13" s="5"/>
      <c r="O13" s="5"/>
      <c r="P13" s="5"/>
      <c r="Q13" s="5"/>
      <c r="R13" s="5"/>
      <c r="S13" s="5"/>
      <c r="T13" s="116"/>
      <c r="U13" s="116"/>
      <c r="V13" s="116"/>
      <c r="W13" s="116"/>
      <c r="X13" s="116"/>
      <c r="Y13" s="116"/>
    </row>
    <row r="14" spans="1:25" ht="15.75">
      <c r="A14" s="17" t="s">
        <v>32</v>
      </c>
      <c r="B14" s="44">
        <v>60</v>
      </c>
      <c r="C14" s="42">
        <v>176.15</v>
      </c>
      <c r="D14" s="45">
        <f>B14*C14</f>
        <v>10569</v>
      </c>
      <c r="E14" s="45">
        <v>162.71</v>
      </c>
      <c r="F14" s="42">
        <f>E14*B14</f>
        <v>9762.6</v>
      </c>
      <c r="G14" s="42">
        <f>F14-D14</f>
        <v>-806.39999999999964</v>
      </c>
      <c r="H14" s="42">
        <f>0.63*B14</f>
        <v>37.799999999999997</v>
      </c>
      <c r="I14" s="41">
        <f>((F14-D14)+G14)/D14</f>
        <v>-0.15259721827987505</v>
      </c>
      <c r="J14" s="83">
        <v>0</v>
      </c>
      <c r="K14" s="83">
        <v>0</v>
      </c>
      <c r="L14" s="83">
        <v>0</v>
      </c>
      <c r="M14" s="83">
        <v>0</v>
      </c>
      <c r="N14" s="84">
        <v>0</v>
      </c>
      <c r="O14" s="84"/>
      <c r="P14" s="83">
        <v>0</v>
      </c>
      <c r="Q14" s="83"/>
      <c r="R14" s="83">
        <v>0</v>
      </c>
      <c r="S14" s="83">
        <v>0</v>
      </c>
      <c r="T14" s="116"/>
      <c r="U14" s="116"/>
      <c r="V14" s="116"/>
      <c r="W14" s="116"/>
      <c r="X14" s="116"/>
      <c r="Y14" s="116"/>
    </row>
    <row r="15" spans="1:25" ht="15.75">
      <c r="A15" s="17" t="s">
        <v>27</v>
      </c>
      <c r="B15" s="44">
        <v>115</v>
      </c>
      <c r="C15" s="42">
        <v>43.54</v>
      </c>
      <c r="D15" s="45">
        <f t="shared" ref="D15:D16" si="0">B15*C15</f>
        <v>5007.0999999999995</v>
      </c>
      <c r="E15" s="45">
        <v>44.83</v>
      </c>
      <c r="F15" s="42">
        <f>E15*B15</f>
        <v>5155.45</v>
      </c>
      <c r="G15" s="42">
        <f t="shared" ref="G15:G27" si="1">F15-D15</f>
        <v>148.35000000000036</v>
      </c>
      <c r="H15" s="42">
        <f>0.03*B15</f>
        <v>3.4499999999999997</v>
      </c>
      <c r="I15" s="41">
        <f t="shared" ref="I15:I27" si="2">((F15-D15)+G15)/D15</f>
        <v>5.9255856683509571E-2</v>
      </c>
      <c r="J15" s="42">
        <v>51.56</v>
      </c>
      <c r="K15" s="65">
        <f>J15*B15</f>
        <v>5929.4000000000005</v>
      </c>
      <c r="L15" s="66">
        <f>K15-F15</f>
        <v>773.95000000000073</v>
      </c>
      <c r="M15" s="65">
        <f>0.3*B15</f>
        <v>34.5</v>
      </c>
      <c r="N15" s="73">
        <f>((K15-F15)+L15+M15)/F15</f>
        <v>0.30693731875975938</v>
      </c>
      <c r="O15" s="42">
        <v>52.59</v>
      </c>
      <c r="P15" s="65">
        <f>O15*B15</f>
        <v>6047.85</v>
      </c>
      <c r="Q15" s="65">
        <f>P15-K15</f>
        <v>118.44999999999982</v>
      </c>
      <c r="R15" s="65">
        <v>0</v>
      </c>
      <c r="S15" s="108">
        <f>((P15-K15)+Q15+R15)/K15</f>
        <v>3.9953452288595745E-2</v>
      </c>
      <c r="T15" s="114"/>
      <c r="U15" s="114"/>
      <c r="V15" s="114"/>
      <c r="W15" s="114"/>
      <c r="X15" s="114"/>
      <c r="Y15" s="114"/>
    </row>
    <row r="16" spans="1:25" ht="15.75">
      <c r="A16" s="17" t="s">
        <v>28</v>
      </c>
      <c r="B16" s="44">
        <v>115</v>
      </c>
      <c r="C16" s="42">
        <v>36.82</v>
      </c>
      <c r="D16" s="45">
        <f t="shared" si="0"/>
        <v>4234.3</v>
      </c>
      <c r="E16" s="45">
        <v>34.659999999999997</v>
      </c>
      <c r="F16" s="42">
        <f>E16*B16</f>
        <v>3985.8999999999996</v>
      </c>
      <c r="G16" s="42">
        <f t="shared" si="1"/>
        <v>-248.40000000000055</v>
      </c>
      <c r="H16" s="42">
        <f>0.34*B16</f>
        <v>39.1</v>
      </c>
      <c r="I16" s="41">
        <f t="shared" si="2"/>
        <v>-0.11732753938077158</v>
      </c>
      <c r="J16" s="42">
        <v>36.270000000000003</v>
      </c>
      <c r="K16" s="65">
        <f t="shared" ref="K16:K27" si="3">J16*B16</f>
        <v>4171.05</v>
      </c>
      <c r="L16" s="66">
        <f t="shared" ref="L16:L27" si="4">K16-F16</f>
        <v>185.15000000000055</v>
      </c>
      <c r="M16" s="65">
        <v>0</v>
      </c>
      <c r="N16" s="73">
        <f t="shared" ref="N16:N26" si="5">((K16-F16)+L16+M16)/F16</f>
        <v>9.2902481246393817E-2</v>
      </c>
      <c r="O16" s="42">
        <v>37.06</v>
      </c>
      <c r="P16" s="65">
        <f>O16*B16</f>
        <v>4261.9000000000005</v>
      </c>
      <c r="Q16" s="65">
        <f t="shared" ref="Q16:Q27" si="6">P16-K16</f>
        <v>90.850000000000364</v>
      </c>
      <c r="R16" s="65">
        <v>0</v>
      </c>
      <c r="S16" s="108">
        <f t="shared" ref="S16:S27" si="7">((P16-K16)+Q16+R16)/K16</f>
        <v>4.3562172594430834E-2</v>
      </c>
      <c r="T16" s="114"/>
      <c r="U16" s="114"/>
      <c r="V16" s="114"/>
      <c r="W16" s="114"/>
      <c r="X16" s="114"/>
      <c r="Y16" s="114"/>
    </row>
    <row r="17" spans="1:25" ht="15.75">
      <c r="A17" s="52" t="s">
        <v>33</v>
      </c>
      <c r="B17" s="44">
        <v>103</v>
      </c>
      <c r="C17" s="44"/>
      <c r="D17" s="53" t="s">
        <v>31</v>
      </c>
      <c r="E17" s="42">
        <v>226.56</v>
      </c>
      <c r="F17" s="45">
        <f>B17*E17</f>
        <v>23335.68</v>
      </c>
      <c r="G17" s="44"/>
      <c r="H17" s="44"/>
      <c r="I17" s="41"/>
      <c r="J17" s="42">
        <v>248.56</v>
      </c>
      <c r="K17" s="65">
        <f t="shared" si="3"/>
        <v>25601.68</v>
      </c>
      <c r="L17" s="66">
        <f t="shared" si="4"/>
        <v>2266</v>
      </c>
      <c r="M17" s="65">
        <v>0</v>
      </c>
      <c r="N17" s="73">
        <f t="shared" si="5"/>
        <v>0.1942090395480226</v>
      </c>
      <c r="O17" s="42">
        <v>221.9</v>
      </c>
      <c r="P17" s="65">
        <f t="shared" ref="P17:P27" si="8">O17*B17</f>
        <v>22855.7</v>
      </c>
      <c r="Q17" s="65">
        <f t="shared" si="6"/>
        <v>-2745.9799999999996</v>
      </c>
      <c r="R17" s="65">
        <v>0</v>
      </c>
      <c r="S17" s="108">
        <f t="shared" si="7"/>
        <v>-0.21451560991309943</v>
      </c>
      <c r="T17" s="114"/>
      <c r="U17" s="118"/>
      <c r="V17" s="114"/>
      <c r="W17" s="114"/>
      <c r="X17" s="114"/>
      <c r="Y17" s="117"/>
    </row>
    <row r="18" spans="1:25" ht="15.75">
      <c r="A18" s="72" t="s">
        <v>37</v>
      </c>
      <c r="B18" s="44">
        <v>30</v>
      </c>
      <c r="C18" s="44" t="s">
        <v>35</v>
      </c>
      <c r="D18" s="44" t="s">
        <v>35</v>
      </c>
      <c r="E18" s="44" t="s">
        <v>35</v>
      </c>
      <c r="F18" s="44" t="s">
        <v>35</v>
      </c>
      <c r="G18" s="44" t="s">
        <v>35</v>
      </c>
      <c r="H18" s="44" t="s">
        <v>35</v>
      </c>
      <c r="I18" s="44" t="s">
        <v>35</v>
      </c>
      <c r="J18" s="42">
        <v>177.9</v>
      </c>
      <c r="K18" s="65">
        <f>J18*B18</f>
        <v>5337</v>
      </c>
      <c r="L18" s="66"/>
      <c r="M18" s="85">
        <v>0</v>
      </c>
      <c r="N18" s="95"/>
      <c r="O18" s="96">
        <v>175.89</v>
      </c>
      <c r="P18" s="85">
        <f t="shared" si="8"/>
        <v>5276.7</v>
      </c>
      <c r="Q18" s="65">
        <f t="shared" si="6"/>
        <v>-60.300000000000182</v>
      </c>
      <c r="R18" s="107">
        <f>5.08*B18</f>
        <v>152.4</v>
      </c>
      <c r="S18" s="108">
        <f t="shared" si="7"/>
        <v>5.9584035975266333E-3</v>
      </c>
      <c r="T18" s="114"/>
      <c r="U18" s="118"/>
      <c r="V18" s="114"/>
      <c r="W18" s="114"/>
      <c r="X18" s="114"/>
      <c r="Y18" s="117"/>
    </row>
    <row r="19" spans="1:25" ht="15.75">
      <c r="A19" s="37" t="s">
        <v>14</v>
      </c>
      <c r="B19" s="88"/>
      <c r="C19" s="88"/>
      <c r="D19" s="88"/>
      <c r="E19" s="88"/>
      <c r="F19" s="89"/>
      <c r="G19" s="89"/>
      <c r="H19" s="88"/>
      <c r="I19" s="90"/>
      <c r="J19" s="89"/>
      <c r="K19" s="91"/>
      <c r="L19" s="92"/>
      <c r="M19" s="91"/>
      <c r="N19" s="93"/>
      <c r="O19" s="89"/>
      <c r="P19" s="91"/>
      <c r="Q19" s="65"/>
      <c r="R19" s="94"/>
      <c r="S19" s="108"/>
      <c r="T19" s="114"/>
      <c r="U19" s="119"/>
      <c r="V19" s="114"/>
      <c r="W19" s="114"/>
      <c r="X19" s="114"/>
      <c r="Y19" s="117"/>
    </row>
    <row r="20" spans="1:25" ht="15.75">
      <c r="A20" s="17" t="s">
        <v>34</v>
      </c>
      <c r="B20" s="86">
        <v>220</v>
      </c>
      <c r="C20" s="67">
        <v>34.1</v>
      </c>
      <c r="D20" s="87">
        <f>B20*C20</f>
        <v>7502</v>
      </c>
      <c r="E20" s="87">
        <v>31.78</v>
      </c>
      <c r="F20" s="67">
        <f>E20*B20</f>
        <v>6991.6</v>
      </c>
      <c r="G20" s="67">
        <f t="shared" si="1"/>
        <v>-510.39999999999964</v>
      </c>
      <c r="H20" s="67">
        <v>0</v>
      </c>
      <c r="I20" s="68">
        <f t="shared" si="2"/>
        <v>-0.13607038123167145</v>
      </c>
      <c r="J20" s="97">
        <v>0</v>
      </c>
      <c r="K20" s="97">
        <v>0</v>
      </c>
      <c r="L20" s="98">
        <v>0</v>
      </c>
      <c r="M20" s="99">
        <v>0</v>
      </c>
      <c r="N20" s="100">
        <v>0</v>
      </c>
      <c r="O20" s="97"/>
      <c r="P20" s="99"/>
      <c r="Q20" s="102"/>
      <c r="R20" s="101"/>
      <c r="S20" s="109"/>
      <c r="T20" s="114"/>
      <c r="U20" s="114"/>
      <c r="V20" s="114"/>
      <c r="W20" s="114"/>
      <c r="X20" s="114"/>
      <c r="Y20" s="117"/>
    </row>
    <row r="21" spans="1:25" ht="15.75">
      <c r="A21" s="17" t="s">
        <v>24</v>
      </c>
      <c r="B21" s="44">
        <v>240</v>
      </c>
      <c r="C21" s="42">
        <v>64.239999999999995</v>
      </c>
      <c r="D21" s="45">
        <f t="shared" ref="D21:D22" si="9">B21*C21</f>
        <v>15417.599999999999</v>
      </c>
      <c r="E21" s="45">
        <v>59.69</v>
      </c>
      <c r="F21" s="42">
        <f>E21*B21</f>
        <v>14325.599999999999</v>
      </c>
      <c r="G21" s="42">
        <f t="shared" si="1"/>
        <v>-1092</v>
      </c>
      <c r="H21" s="42">
        <v>0</v>
      </c>
      <c r="I21" s="41">
        <f t="shared" si="2"/>
        <v>-0.1416562889165629</v>
      </c>
      <c r="J21" s="42">
        <v>65.17</v>
      </c>
      <c r="K21" s="65">
        <f t="shared" si="3"/>
        <v>15640.800000000001</v>
      </c>
      <c r="L21" s="66">
        <f t="shared" si="4"/>
        <v>1315.2000000000025</v>
      </c>
      <c r="M21" s="65">
        <v>0</v>
      </c>
      <c r="N21" s="73">
        <f t="shared" si="5"/>
        <v>0.18361534595409654</v>
      </c>
      <c r="O21" s="42">
        <v>68.38</v>
      </c>
      <c r="P21" s="65">
        <f t="shared" si="8"/>
        <v>16411.199999999997</v>
      </c>
      <c r="Q21" s="65">
        <f t="shared" si="6"/>
        <v>770.399999999996</v>
      </c>
      <c r="R21" s="65">
        <v>0</v>
      </c>
      <c r="S21" s="108">
        <f t="shared" si="7"/>
        <v>9.8511585085161363E-2</v>
      </c>
      <c r="T21" s="114"/>
      <c r="U21" s="114"/>
      <c r="V21" s="114"/>
      <c r="W21" s="114"/>
      <c r="X21" s="114"/>
      <c r="Y21" s="117"/>
    </row>
    <row r="22" spans="1:25" ht="15.75">
      <c r="A22" s="17" t="s">
        <v>25</v>
      </c>
      <c r="B22" s="44">
        <v>122</v>
      </c>
      <c r="C22" s="42">
        <v>69.59</v>
      </c>
      <c r="D22" s="45">
        <f t="shared" si="9"/>
        <v>8489.98</v>
      </c>
      <c r="E22" s="45">
        <v>63.03</v>
      </c>
      <c r="F22" s="42">
        <f>E22*B22</f>
        <v>7689.66</v>
      </c>
      <c r="G22" s="42">
        <f t="shared" si="1"/>
        <v>-800.31999999999971</v>
      </c>
      <c r="H22" s="42">
        <v>0</v>
      </c>
      <c r="I22" s="41">
        <f t="shared" si="2"/>
        <v>-0.18853283517746797</v>
      </c>
      <c r="J22" s="42">
        <v>69.47</v>
      </c>
      <c r="K22" s="65">
        <f t="shared" si="3"/>
        <v>8475.34</v>
      </c>
      <c r="L22" s="66">
        <f t="shared" si="4"/>
        <v>785.68000000000029</v>
      </c>
      <c r="M22" s="85">
        <v>0</v>
      </c>
      <c r="N22" s="95">
        <f t="shared" si="5"/>
        <v>0.20434713628430914</v>
      </c>
      <c r="O22" s="96">
        <v>74.42</v>
      </c>
      <c r="P22" s="85">
        <f t="shared" si="8"/>
        <v>9079.24</v>
      </c>
      <c r="Q22" s="65">
        <f t="shared" si="6"/>
        <v>603.89999999999964</v>
      </c>
      <c r="R22" s="65">
        <v>0</v>
      </c>
      <c r="S22" s="108">
        <f t="shared" si="7"/>
        <v>0.14250755721894334</v>
      </c>
      <c r="T22" s="114"/>
      <c r="U22" s="114"/>
      <c r="V22" s="114"/>
      <c r="W22" s="114"/>
      <c r="X22" s="114"/>
      <c r="Y22" s="117"/>
    </row>
    <row r="23" spans="1:25" ht="15.75">
      <c r="A23" s="37" t="s">
        <v>15</v>
      </c>
      <c r="B23" s="82"/>
      <c r="C23" s="82"/>
      <c r="D23" s="82"/>
      <c r="E23" s="82"/>
      <c r="F23" s="46"/>
      <c r="G23" s="51"/>
      <c r="H23" s="59"/>
      <c r="I23" s="60"/>
      <c r="J23" s="51"/>
      <c r="K23" s="70"/>
      <c r="L23" s="71"/>
      <c r="M23" s="91"/>
      <c r="N23" s="93"/>
      <c r="O23" s="89"/>
      <c r="P23" s="91"/>
      <c r="Q23" s="65"/>
      <c r="S23" s="108"/>
      <c r="T23" s="114"/>
      <c r="U23" s="114"/>
      <c r="V23" s="114"/>
      <c r="W23" s="114"/>
      <c r="X23" s="114"/>
      <c r="Y23" s="117"/>
    </row>
    <row r="24" spans="1:25" ht="15.75">
      <c r="A24" s="17" t="s">
        <v>38</v>
      </c>
      <c r="B24" s="44">
        <v>165</v>
      </c>
      <c r="C24" s="42">
        <v>78.930000000000007</v>
      </c>
      <c r="D24" s="42">
        <f>B24*C24</f>
        <v>13023.45</v>
      </c>
      <c r="E24" s="42">
        <v>75.95</v>
      </c>
      <c r="F24" s="42">
        <f>E24*B24</f>
        <v>12531.75</v>
      </c>
      <c r="G24" s="42">
        <f t="shared" si="1"/>
        <v>-491.70000000000073</v>
      </c>
      <c r="H24" s="42">
        <f>0.35*B24</f>
        <v>57.749999999999993</v>
      </c>
      <c r="I24" s="41">
        <f t="shared" si="2"/>
        <v>-7.550994552134814E-2</v>
      </c>
      <c r="J24" s="42">
        <v>74.86</v>
      </c>
      <c r="K24" s="65">
        <f t="shared" si="3"/>
        <v>12351.9</v>
      </c>
      <c r="L24" s="66">
        <f t="shared" si="4"/>
        <v>-179.85000000000036</v>
      </c>
      <c r="M24" s="69">
        <v>0</v>
      </c>
      <c r="N24" s="75">
        <f t="shared" si="5"/>
        <v>-2.8703094140882218E-2</v>
      </c>
      <c r="O24" s="67">
        <v>72.900000000000006</v>
      </c>
      <c r="P24" s="69">
        <f t="shared" si="8"/>
        <v>12028.500000000002</v>
      </c>
      <c r="Q24" s="65">
        <f t="shared" si="6"/>
        <v>-323.39999999999782</v>
      </c>
      <c r="R24" s="65">
        <f>0.35*B24</f>
        <v>57.749999999999993</v>
      </c>
      <c r="S24" s="108">
        <f t="shared" si="7"/>
        <v>-4.7689019503072048E-2</v>
      </c>
      <c r="T24" s="114"/>
      <c r="U24" s="114"/>
      <c r="V24" s="114"/>
      <c r="W24" s="114"/>
      <c r="X24" s="114"/>
      <c r="Y24" s="117"/>
    </row>
    <row r="25" spans="1:25" ht="15.75">
      <c r="A25" s="17" t="s">
        <v>23</v>
      </c>
      <c r="B25" s="44">
        <v>70</v>
      </c>
      <c r="C25" s="42">
        <v>152.99</v>
      </c>
      <c r="D25" s="42">
        <f t="shared" ref="D25:D27" si="10">B25*C25</f>
        <v>10709.300000000001</v>
      </c>
      <c r="E25" s="42">
        <v>152.80000000000001</v>
      </c>
      <c r="F25" s="42">
        <f>E25*B25</f>
        <v>10696</v>
      </c>
      <c r="G25" s="42">
        <f t="shared" si="1"/>
        <v>-13.300000000001091</v>
      </c>
      <c r="H25" s="42">
        <f>0.75*B25</f>
        <v>52.5</v>
      </c>
      <c r="I25" s="41">
        <f t="shared" si="2"/>
        <v>-2.4838224720572007E-3</v>
      </c>
      <c r="J25" s="42">
        <v>158.88999999999999</v>
      </c>
      <c r="K25" s="65">
        <f t="shared" si="3"/>
        <v>11122.3</v>
      </c>
      <c r="L25" s="66">
        <f t="shared" si="4"/>
        <v>426.29999999999927</v>
      </c>
      <c r="M25" s="65">
        <v>0</v>
      </c>
      <c r="N25" s="73">
        <f t="shared" si="5"/>
        <v>7.971204188481662E-2</v>
      </c>
      <c r="O25" s="42">
        <v>145.69999999999999</v>
      </c>
      <c r="P25" s="65">
        <f t="shared" si="8"/>
        <v>10199</v>
      </c>
      <c r="Q25" s="65">
        <f t="shared" si="6"/>
        <v>-923.29999999999927</v>
      </c>
      <c r="R25" s="65">
        <f>0.75*B25</f>
        <v>52.5</v>
      </c>
      <c r="S25" s="108">
        <f t="shared" si="7"/>
        <v>-0.16130656428976009</v>
      </c>
      <c r="T25" s="114"/>
      <c r="U25" s="114"/>
      <c r="V25" s="114"/>
      <c r="W25" s="114"/>
      <c r="X25" s="114"/>
      <c r="Y25" s="117"/>
    </row>
    <row r="26" spans="1:25" ht="15.75">
      <c r="A26" s="17" t="s">
        <v>39</v>
      </c>
      <c r="B26" s="44">
        <v>129</v>
      </c>
      <c r="C26" s="42">
        <v>30.62</v>
      </c>
      <c r="D26" s="42">
        <f t="shared" si="10"/>
        <v>3949.98</v>
      </c>
      <c r="E26" s="42">
        <v>28.07</v>
      </c>
      <c r="F26" s="42">
        <f>E26*B26</f>
        <v>3621.03</v>
      </c>
      <c r="G26" s="42">
        <f t="shared" si="1"/>
        <v>-328.94999999999982</v>
      </c>
      <c r="H26" s="42">
        <f>0.13*B26</f>
        <v>16.77</v>
      </c>
      <c r="I26" s="41">
        <f t="shared" si="2"/>
        <v>-0.16655780535597639</v>
      </c>
      <c r="J26" s="42">
        <v>26.87</v>
      </c>
      <c r="K26" s="65">
        <f t="shared" si="3"/>
        <v>3466.23</v>
      </c>
      <c r="L26" s="66">
        <f t="shared" si="4"/>
        <v>-154.80000000000018</v>
      </c>
      <c r="M26" s="65">
        <v>0</v>
      </c>
      <c r="N26" s="73">
        <f t="shared" si="5"/>
        <v>-8.550053437833996E-2</v>
      </c>
      <c r="O26" s="83">
        <v>0</v>
      </c>
      <c r="P26" s="102">
        <f t="shared" si="8"/>
        <v>0</v>
      </c>
      <c r="Q26" s="102"/>
      <c r="R26" s="102">
        <v>0</v>
      </c>
      <c r="S26" s="109"/>
      <c r="T26" s="114"/>
      <c r="U26" s="119"/>
      <c r="V26" s="114"/>
      <c r="W26" s="114"/>
      <c r="X26" s="114"/>
      <c r="Y26" s="117"/>
    </row>
    <row r="27" spans="1:25" ht="15.75">
      <c r="A27" s="17" t="s">
        <v>26</v>
      </c>
      <c r="B27" s="44">
        <v>82</v>
      </c>
      <c r="C27" s="42">
        <v>108.79</v>
      </c>
      <c r="D27" s="42">
        <f t="shared" si="10"/>
        <v>8920.7800000000007</v>
      </c>
      <c r="E27" s="42">
        <v>109.72</v>
      </c>
      <c r="F27" s="42">
        <f>E27*B27</f>
        <v>8997.0399999999991</v>
      </c>
      <c r="G27" s="42">
        <f t="shared" si="1"/>
        <v>76.259999999998399</v>
      </c>
      <c r="H27" s="42">
        <f>0.35*B27</f>
        <v>28.7</v>
      </c>
      <c r="I27" s="41">
        <f t="shared" si="2"/>
        <v>1.7097159665410065E-2</v>
      </c>
      <c r="J27" s="42">
        <v>115.3</v>
      </c>
      <c r="K27" s="65">
        <f t="shared" si="3"/>
        <v>9454.6</v>
      </c>
      <c r="L27" s="66">
        <f t="shared" si="4"/>
        <v>457.56000000000131</v>
      </c>
      <c r="M27" s="103">
        <v>0</v>
      </c>
      <c r="N27" s="104"/>
      <c r="O27" s="105">
        <v>114.22</v>
      </c>
      <c r="P27" s="103">
        <f t="shared" si="8"/>
        <v>9366.0399999999991</v>
      </c>
      <c r="Q27" s="65">
        <f t="shared" si="6"/>
        <v>-88.56000000000131</v>
      </c>
      <c r="R27" s="65">
        <f t="shared" ref="R27" si="11">0.35*B27</f>
        <v>28.7</v>
      </c>
      <c r="S27" s="108">
        <f t="shared" si="7"/>
        <v>-1.5698178664354138E-2</v>
      </c>
      <c r="T27" s="114"/>
      <c r="U27" s="114"/>
      <c r="V27" s="114"/>
      <c r="W27" s="114"/>
      <c r="X27" s="114"/>
      <c r="Y27" s="117"/>
    </row>
    <row r="28" spans="1:25" ht="15.75">
      <c r="N28" s="82"/>
      <c r="O28" s="82"/>
      <c r="T28" s="114"/>
      <c r="U28" s="119"/>
      <c r="V28" s="114"/>
      <c r="W28" s="114"/>
      <c r="X28" s="114"/>
      <c r="Y28" s="117"/>
    </row>
    <row r="29" spans="1:25" ht="15.75">
      <c r="A29" t="s">
        <v>19</v>
      </c>
      <c r="D29" s="79">
        <f>SUM(D14:D28)</f>
        <v>87823.489999999991</v>
      </c>
      <c r="E29" s="47"/>
      <c r="F29" s="48">
        <f>SUM(F14:F28)-F17</f>
        <v>83756.629999999976</v>
      </c>
      <c r="G29" s="48">
        <f>SUM(G14:G27)</f>
        <v>-4066.8600000000024</v>
      </c>
      <c r="H29" s="45">
        <f>SUM(H14:H27)</f>
        <v>236.07</v>
      </c>
      <c r="I29" s="57">
        <f>(F29+H29-D29)/D29</f>
        <v>-4.361919572998077E-2</v>
      </c>
      <c r="J29" s="61"/>
      <c r="K29" s="76">
        <f>SUM(K15:K28)-K18</f>
        <v>96213.3</v>
      </c>
      <c r="L29" s="66">
        <f>SUM(L15:L27)</f>
        <v>5875.1900000000041</v>
      </c>
      <c r="M29" s="65">
        <v>28.5</v>
      </c>
      <c r="N29" s="73">
        <f>(M29+L29+K29-F29)/F29</f>
        <v>0.21921082545942971</v>
      </c>
      <c r="O29" s="74"/>
      <c r="P29" s="66">
        <f>SUM(P15:P28)</f>
        <v>95526.12999999999</v>
      </c>
      <c r="Q29" s="66">
        <f>SUM(Q15:Q27)</f>
        <v>-2557.9400000000023</v>
      </c>
      <c r="R29" s="66">
        <f>SUM(R18:R27)</f>
        <v>291.34999999999997</v>
      </c>
      <c r="S29" s="108">
        <f>(R29+Q29+P29-K29)/K29</f>
        <v>-3.0700121500873676E-2</v>
      </c>
      <c r="T29" s="114"/>
      <c r="U29" s="114"/>
      <c r="V29" s="114"/>
      <c r="W29" s="114"/>
      <c r="X29" s="114"/>
      <c r="Y29" s="120"/>
    </row>
    <row r="30" spans="1:25" ht="15.75">
      <c r="D30" s="82"/>
      <c r="E30" s="82"/>
      <c r="F30" s="82"/>
      <c r="G30" s="82"/>
      <c r="H30" s="82"/>
      <c r="I30" s="82"/>
      <c r="J30" s="82"/>
      <c r="T30" s="114"/>
      <c r="U30" s="114"/>
      <c r="V30" s="114"/>
      <c r="W30" s="114"/>
      <c r="X30" s="114"/>
      <c r="Y30" s="114"/>
    </row>
    <row r="31" spans="1:25" ht="15.75">
      <c r="A31" t="s">
        <v>20</v>
      </c>
      <c r="D31" s="77">
        <v>95224.13</v>
      </c>
      <c r="E31" s="82"/>
      <c r="F31" s="54">
        <f>SUM(F14:F27)-F17</f>
        <v>83756.629999999976</v>
      </c>
      <c r="G31" s="82"/>
      <c r="H31" s="82"/>
      <c r="I31" s="82"/>
      <c r="J31" s="82"/>
      <c r="M31" s="81" t="s">
        <v>36</v>
      </c>
      <c r="N31" s="81">
        <f>(2680.91-2665.74)/2665.65</f>
        <v>5.6909196631215924E-3</v>
      </c>
      <c r="O31" s="81"/>
      <c r="S31" s="55">
        <f>(R29+Q29+P32-K29)/K29</f>
        <v>-5.4258091137088175E-2</v>
      </c>
      <c r="T31" s="114"/>
      <c r="U31" s="114"/>
      <c r="V31" s="114"/>
      <c r="W31" s="114"/>
      <c r="X31" s="114"/>
      <c r="Y31" s="114"/>
    </row>
    <row r="32" spans="1:25" ht="15.75">
      <c r="P32" s="106">
        <f>P29+Q29+R29</f>
        <v>93259.54</v>
      </c>
      <c r="R32" s="110" t="s">
        <v>41</v>
      </c>
      <c r="S32" s="111">
        <v>0.87</v>
      </c>
      <c r="T32" s="114"/>
      <c r="U32" s="114"/>
      <c r="V32" s="114"/>
      <c r="W32" s="114"/>
      <c r="X32" s="114"/>
      <c r="Y32" s="114"/>
    </row>
    <row r="33" spans="1:25" ht="15.75">
      <c r="A33" t="s">
        <v>21</v>
      </c>
      <c r="D33" s="78">
        <v>101104.3</v>
      </c>
      <c r="K33" s="80">
        <f>SUM(K29:K32)</f>
        <v>96213.3</v>
      </c>
      <c r="O33" t="s">
        <v>42</v>
      </c>
      <c r="P33" s="112">
        <f>95427.94-572.81</f>
        <v>94855.13</v>
      </c>
      <c r="T33" s="114"/>
      <c r="U33" s="114"/>
      <c r="V33" s="114"/>
      <c r="W33" s="114"/>
      <c r="X33" s="114"/>
      <c r="Y33" s="114"/>
    </row>
    <row r="34" spans="1:25" ht="15.75">
      <c r="D34" s="78"/>
      <c r="K34" s="80"/>
      <c r="P34" s="112"/>
      <c r="T34" s="114"/>
      <c r="U34" s="114"/>
      <c r="V34" s="114"/>
      <c r="W34" s="114"/>
      <c r="X34" s="114"/>
      <c r="Y34" s="114"/>
    </row>
    <row r="35" spans="1:25" ht="15.75">
      <c r="D35" s="78"/>
      <c r="K35" s="80"/>
      <c r="P35" s="112"/>
      <c r="T35" s="114"/>
      <c r="U35" s="114"/>
      <c r="V35" s="114"/>
      <c r="W35" s="114"/>
      <c r="X35" s="114"/>
      <c r="Y35" s="114"/>
    </row>
    <row r="36" spans="1:25" ht="15.75">
      <c r="A36" t="s">
        <v>22</v>
      </c>
      <c r="D36" s="112">
        <f>P32</f>
        <v>93259.54</v>
      </c>
      <c r="K36" s="80"/>
      <c r="P36" s="112"/>
      <c r="T36" s="114"/>
      <c r="U36" s="114"/>
      <c r="V36" s="114"/>
      <c r="W36" s="114"/>
      <c r="X36" s="114"/>
      <c r="Y36" s="114"/>
    </row>
    <row r="37" spans="1:25" ht="15.75">
      <c r="D37" s="112"/>
      <c r="K37" s="80"/>
      <c r="P37" s="112"/>
      <c r="T37" s="114"/>
      <c r="U37" s="114"/>
      <c r="V37" s="114"/>
      <c r="W37" s="114"/>
      <c r="X37" s="114"/>
      <c r="Y37" s="114"/>
    </row>
    <row r="38" spans="1:25" ht="15.75">
      <c r="A38" s="114" t="s">
        <v>45</v>
      </c>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row>
    <row r="39" spans="1:25" ht="15.75">
      <c r="A39" s="11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row>
    <row r="40" spans="1:25" ht="15.75">
      <c r="A40" s="114"/>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row>
    <row r="41" spans="1:25" ht="15.75">
      <c r="A41" s="114" t="s">
        <v>52</v>
      </c>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row>
    <row r="42" spans="1:25" ht="15.75">
      <c r="A42" s="114"/>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row>
    <row r="43" spans="1:25" ht="15.75">
      <c r="A43" s="114" t="s">
        <v>46</v>
      </c>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row>
    <row r="44" spans="1:25" ht="15.75">
      <c r="A44" s="114"/>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row>
    <row r="45" spans="1:25" ht="15.75">
      <c r="A45" s="114" t="s">
        <v>47</v>
      </c>
      <c r="B45" s="114"/>
      <c r="C45" s="114"/>
      <c r="D45" s="114"/>
      <c r="E45" s="114"/>
      <c r="F45" s="114"/>
      <c r="G45" s="114"/>
      <c r="H45" s="114"/>
      <c r="I45" s="114"/>
      <c r="J45" s="114"/>
      <c r="K45" s="114"/>
      <c r="L45" s="114"/>
      <c r="M45" s="114"/>
      <c r="N45" s="114"/>
      <c r="O45" s="114"/>
      <c r="P45" s="114"/>
      <c r="Q45" s="114"/>
      <c r="R45" s="114"/>
      <c r="S45" s="114"/>
      <c r="T45" s="114"/>
      <c r="U45" s="114"/>
      <c r="V45" s="114"/>
      <c r="W45" s="114"/>
      <c r="X45" s="114"/>
      <c r="Y45" s="114"/>
    </row>
    <row r="46" spans="1:25" ht="15.75">
      <c r="A46" s="114" t="s">
        <v>53</v>
      </c>
      <c r="B46" s="114"/>
      <c r="C46" s="114"/>
      <c r="D46" s="114"/>
      <c r="E46" s="114"/>
      <c r="F46" s="114"/>
      <c r="G46" s="114"/>
      <c r="H46" s="114"/>
      <c r="I46" s="114"/>
      <c r="J46" s="114"/>
      <c r="K46" s="114"/>
      <c r="L46" s="114"/>
      <c r="M46" s="114"/>
      <c r="N46" s="114"/>
      <c r="O46" s="114"/>
      <c r="P46" s="114"/>
      <c r="Q46" s="114"/>
      <c r="R46" s="114"/>
      <c r="S46" s="114"/>
      <c r="T46" s="114"/>
      <c r="U46" s="114"/>
      <c r="V46" s="114"/>
      <c r="W46" s="114"/>
      <c r="X46" s="114"/>
      <c r="Y46" s="114"/>
    </row>
    <row r="47" spans="1:25" ht="15.75">
      <c r="A47" s="114" t="s">
        <v>54</v>
      </c>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row>
    <row r="48" spans="1:25" ht="15.75">
      <c r="A48" s="114"/>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Sheet1</vt:lpstr>
      <vt:lpstr>Sheet2</vt:lpstr>
      <vt:lpstr>Sheet3</vt:lpstr>
      <vt:lpstr>Sheet4</vt:lpstr>
      <vt:lpstr>Sheet5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2017-07-17T15:27:27Z</cp:lastPrinted>
  <dcterms:created xsi:type="dcterms:W3CDTF">2015-08-12T22:45:51Z</dcterms:created>
  <dcterms:modified xsi:type="dcterms:W3CDTF">2019-05-01T04:45:42Z</dcterms:modified>
</cp:coreProperties>
</file>